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_smart\Desktop\"/>
    </mc:Choice>
  </mc:AlternateContent>
  <bookViews>
    <workbookView xWindow="0" yWindow="0" windowWidth="19440" windowHeight="12435"/>
  </bookViews>
  <sheets>
    <sheet name="Прайс" sheetId="3" r:id="rId1"/>
  </sheets>
  <definedNames>
    <definedName name="_xlnm.Print_Area" localSheetId="0">Прайс!$A$1:$K$331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6" i="3" l="1"/>
  <c r="D236" i="3" s="1"/>
  <c r="I141" i="3"/>
  <c r="C163" i="3"/>
  <c r="D98" i="3"/>
  <c r="C98" i="3"/>
  <c r="D99" i="3"/>
  <c r="C99" i="3"/>
  <c r="J266" i="3"/>
  <c r="I266" i="3"/>
  <c r="I24" i="3"/>
  <c r="I31" i="3"/>
  <c r="C317" i="3"/>
  <c r="D317" i="3" s="1"/>
  <c r="C284" i="3"/>
  <c r="D284" i="3" s="1"/>
  <c r="C286" i="3"/>
  <c r="D286" i="3" s="1"/>
  <c r="C273" i="3"/>
  <c r="D273" i="3" s="1"/>
  <c r="C125" i="3"/>
  <c r="D125" i="3" s="1"/>
  <c r="I39" i="3"/>
  <c r="J39" i="3" s="1"/>
  <c r="I262" i="3" l="1"/>
  <c r="J262" i="3" s="1"/>
  <c r="I263" i="3"/>
  <c r="J263" i="3" s="1"/>
  <c r="I264" i="3"/>
  <c r="J264" i="3" s="1"/>
  <c r="I265" i="3"/>
  <c r="J265" i="3" s="1"/>
  <c r="C268" i="3"/>
  <c r="D268" i="3" s="1"/>
  <c r="C269" i="3"/>
  <c r="D269" i="3" s="1"/>
  <c r="I267" i="3"/>
  <c r="J267" i="3" s="1"/>
  <c r="C270" i="3"/>
  <c r="D270" i="3" s="1"/>
  <c r="I268" i="3"/>
  <c r="J268" i="3" s="1"/>
  <c r="C271" i="3"/>
  <c r="D271" i="3" s="1"/>
  <c r="I269" i="3"/>
  <c r="J269" i="3"/>
  <c r="C272" i="3"/>
  <c r="D272" i="3" s="1"/>
  <c r="I270" i="3"/>
  <c r="J270" i="3" s="1"/>
  <c r="C274" i="3"/>
  <c r="D274" i="3" s="1"/>
  <c r="I271" i="3"/>
  <c r="J271" i="3" s="1"/>
  <c r="C275" i="3"/>
  <c r="D275" i="3" s="1"/>
  <c r="I272" i="3"/>
  <c r="J272" i="3"/>
  <c r="C276" i="3"/>
  <c r="D276" i="3" s="1"/>
  <c r="I273" i="3"/>
  <c r="J273" i="3" s="1"/>
  <c r="C277" i="3"/>
  <c r="D277" i="3" s="1"/>
  <c r="C278" i="3"/>
  <c r="D278" i="3" s="1"/>
  <c r="I275" i="3"/>
  <c r="J275" i="3" s="1"/>
  <c r="C279" i="3"/>
  <c r="D279" i="3"/>
  <c r="I276" i="3"/>
  <c r="J276" i="3" s="1"/>
  <c r="C280" i="3"/>
  <c r="D280" i="3" s="1"/>
  <c r="I277" i="3"/>
  <c r="J277" i="3" s="1"/>
  <c r="C281" i="3"/>
  <c r="D281" i="3" s="1"/>
  <c r="J278" i="3"/>
  <c r="C282" i="3"/>
  <c r="D282" i="3" s="1"/>
  <c r="I279" i="3"/>
  <c r="J279" i="3" s="1"/>
  <c r="C283" i="3"/>
  <c r="D283" i="3" s="1"/>
  <c r="I280" i="3"/>
  <c r="J280" i="3" s="1"/>
  <c r="C285" i="3"/>
  <c r="D285" i="3" s="1"/>
  <c r="I281" i="3"/>
  <c r="J281" i="3" s="1"/>
  <c r="I282" i="3"/>
  <c r="J282" i="3" s="1"/>
  <c r="C287" i="3"/>
  <c r="D287" i="3" s="1"/>
  <c r="I283" i="3"/>
  <c r="J283" i="3" s="1"/>
  <c r="C288" i="3"/>
  <c r="D288" i="3" s="1"/>
  <c r="I284" i="3"/>
  <c r="J284" i="3" s="1"/>
  <c r="C289" i="3"/>
  <c r="D289" i="3"/>
  <c r="I285" i="3"/>
  <c r="J285" i="3" s="1"/>
  <c r="C290" i="3"/>
  <c r="D290" i="3" s="1"/>
  <c r="I286" i="3"/>
  <c r="J286" i="3" s="1"/>
  <c r="C291" i="3"/>
  <c r="D291" i="3" s="1"/>
  <c r="I287" i="3"/>
  <c r="J287" i="3" s="1"/>
  <c r="C292" i="3"/>
  <c r="D292" i="3" s="1"/>
  <c r="I288" i="3"/>
  <c r="J288" i="3" s="1"/>
  <c r="C293" i="3"/>
  <c r="D293" i="3" s="1"/>
  <c r="I289" i="3"/>
  <c r="J289" i="3" s="1"/>
  <c r="C294" i="3"/>
  <c r="D294" i="3" s="1"/>
  <c r="I290" i="3"/>
  <c r="J290" i="3" s="1"/>
  <c r="C295" i="3"/>
  <c r="D295" i="3" s="1"/>
  <c r="I291" i="3"/>
  <c r="J291" i="3" s="1"/>
  <c r="C296" i="3"/>
  <c r="D296" i="3" s="1"/>
  <c r="I292" i="3"/>
  <c r="J292" i="3" s="1"/>
  <c r="C297" i="3"/>
  <c r="D297" i="3"/>
  <c r="I293" i="3"/>
  <c r="J293" i="3" s="1"/>
  <c r="C298" i="3"/>
  <c r="D298" i="3" s="1"/>
  <c r="I294" i="3"/>
  <c r="J294" i="3" s="1"/>
  <c r="C299" i="3"/>
  <c r="D299" i="3" s="1"/>
  <c r="I295" i="3"/>
  <c r="J295" i="3" s="1"/>
  <c r="C300" i="3"/>
  <c r="D300" i="3" s="1"/>
  <c r="I296" i="3"/>
  <c r="J296" i="3" s="1"/>
  <c r="I297" i="3"/>
  <c r="J297" i="3" s="1"/>
  <c r="C302" i="3"/>
  <c r="D302" i="3"/>
  <c r="I298" i="3"/>
  <c r="J298" i="3" s="1"/>
  <c r="C303" i="3"/>
  <c r="D303" i="3"/>
  <c r="I299" i="3"/>
  <c r="J299" i="3" s="1"/>
  <c r="C304" i="3"/>
  <c r="D304" i="3" s="1"/>
  <c r="I300" i="3"/>
  <c r="J300" i="3" s="1"/>
  <c r="C305" i="3"/>
  <c r="D305" i="3" s="1"/>
  <c r="I301" i="3"/>
  <c r="J301" i="3" s="1"/>
  <c r="I77" i="3" l="1"/>
  <c r="J77" i="3" s="1"/>
  <c r="J176" i="3"/>
  <c r="I176" i="3"/>
  <c r="D94" i="3"/>
  <c r="C94" i="3"/>
  <c r="C126" i="3" l="1"/>
  <c r="D126" i="3" s="1"/>
  <c r="C259" i="3"/>
  <c r="D260" i="3"/>
  <c r="C128" i="3"/>
  <c r="D257" i="3"/>
  <c r="D250" i="3"/>
  <c r="C250" i="3"/>
  <c r="C249" i="3" l="1"/>
  <c r="I307" i="3" l="1"/>
  <c r="J307" i="3" s="1"/>
  <c r="C11" i="3" l="1"/>
  <c r="C201" i="3" l="1"/>
  <c r="D88" i="3" l="1"/>
  <c r="C88" i="3"/>
  <c r="D81" i="3"/>
  <c r="D77" i="3"/>
  <c r="C77" i="3"/>
  <c r="C76" i="3"/>
  <c r="C70" i="3"/>
  <c r="C69" i="3"/>
  <c r="D246" i="3" l="1"/>
  <c r="C246" i="3"/>
  <c r="I303" i="3"/>
  <c r="D148" i="3"/>
  <c r="C148" i="3"/>
  <c r="C149" i="3"/>
  <c r="D149" i="3" s="1"/>
  <c r="C147" i="3"/>
  <c r="D147" i="3" s="1"/>
  <c r="C150" i="3"/>
  <c r="D150" i="3" s="1"/>
  <c r="D156" i="3"/>
  <c r="C156" i="3"/>
  <c r="D155" i="3"/>
  <c r="C155" i="3"/>
  <c r="D154" i="3"/>
  <c r="C154" i="3"/>
  <c r="I149" i="3"/>
  <c r="J149" i="3"/>
  <c r="C143" i="3"/>
  <c r="D143" i="3" s="1"/>
  <c r="C142" i="3"/>
  <c r="D142" i="3" s="1"/>
  <c r="C144" i="3"/>
  <c r="D144" i="3" s="1"/>
  <c r="D132" i="3"/>
  <c r="C132" i="3"/>
  <c r="D136" i="3"/>
  <c r="C136" i="3"/>
  <c r="C105" i="3"/>
  <c r="C178" i="3"/>
  <c r="D178" i="3"/>
  <c r="D177" i="3"/>
  <c r="C177" i="3"/>
  <c r="D175" i="3"/>
  <c r="C175" i="3"/>
  <c r="C184" i="3"/>
  <c r="D184" i="3" s="1"/>
  <c r="C124" i="3"/>
  <c r="D124" i="3" s="1"/>
  <c r="D121" i="3"/>
  <c r="D123" i="3"/>
  <c r="C123" i="3"/>
  <c r="D116" i="3"/>
  <c r="D117" i="3"/>
  <c r="I119" i="3"/>
  <c r="J119" i="3" s="1"/>
  <c r="C112" i="3"/>
  <c r="D60" i="3"/>
  <c r="C60" i="3"/>
  <c r="J218" i="3" l="1"/>
  <c r="I218" i="3"/>
  <c r="J217" i="3"/>
  <c r="I217" i="3"/>
  <c r="J216" i="3"/>
  <c r="I216" i="3"/>
  <c r="J215" i="3"/>
  <c r="I215" i="3"/>
  <c r="I253" i="3"/>
  <c r="J253" i="3" s="1"/>
  <c r="J191" i="3" l="1"/>
  <c r="J185" i="3"/>
  <c r="J181" i="3"/>
  <c r="I197" i="3"/>
  <c r="I204" i="3"/>
  <c r="J213" i="3"/>
  <c r="D55" i="3"/>
  <c r="C55" i="3"/>
  <c r="C315" i="3"/>
  <c r="J256" i="3"/>
  <c r="I256" i="3"/>
  <c r="I150" i="3"/>
  <c r="C319" i="3"/>
  <c r="J157" i="3"/>
  <c r="J142" i="3"/>
  <c r="I142" i="3"/>
  <c r="D318" i="3"/>
  <c r="C318" i="3"/>
  <c r="I223" i="3" l="1"/>
  <c r="J223" i="3" s="1"/>
  <c r="I224" i="3"/>
  <c r="J224" i="3" s="1"/>
  <c r="I244" i="3"/>
  <c r="J244" i="3" s="1"/>
  <c r="I230" i="3"/>
  <c r="J230" i="3" s="1"/>
  <c r="I222" i="3"/>
  <c r="J222" i="3" s="1"/>
  <c r="I221" i="3"/>
  <c r="J221" i="3" s="1"/>
  <c r="I219" i="3"/>
  <c r="J219" i="3" s="1"/>
  <c r="I249" i="3"/>
  <c r="J249" i="3" s="1"/>
  <c r="I247" i="3"/>
  <c r="J247" i="3" s="1"/>
  <c r="I251" i="3"/>
  <c r="J251" i="3" s="1"/>
  <c r="I250" i="3"/>
  <c r="J250" i="3" s="1"/>
  <c r="I246" i="3"/>
  <c r="J246" i="3" s="1"/>
  <c r="I245" i="3"/>
  <c r="J245" i="3" s="1"/>
  <c r="I248" i="3"/>
  <c r="J248" i="3" s="1"/>
  <c r="J229" i="3"/>
  <c r="J228" i="3"/>
  <c r="I228" i="3"/>
  <c r="D23" i="3"/>
  <c r="C23" i="3"/>
  <c r="C20" i="3"/>
  <c r="D20" i="3"/>
  <c r="C21" i="3"/>
  <c r="D21" i="3"/>
  <c r="C22" i="3"/>
  <c r="D25" i="3" l="1"/>
  <c r="D24" i="3"/>
  <c r="C24" i="3"/>
  <c r="C25" i="3"/>
  <c r="D31" i="3"/>
  <c r="C31" i="3"/>
  <c r="C32" i="3"/>
  <c r="D32" i="3"/>
  <c r="D22" i="3"/>
  <c r="C311" i="3"/>
  <c r="D311" i="3" s="1"/>
  <c r="C314" i="3"/>
  <c r="D314" i="3" s="1"/>
  <c r="C313" i="3"/>
  <c r="D313" i="3" s="1"/>
  <c r="C309" i="3"/>
  <c r="D309" i="3" s="1"/>
  <c r="C308" i="3"/>
  <c r="D308" i="3" s="1"/>
  <c r="I302" i="3"/>
  <c r="J302" i="3" s="1"/>
  <c r="C306" i="3"/>
  <c r="D306" i="3" s="1"/>
  <c r="C307" i="3"/>
  <c r="D307" i="3" s="1"/>
  <c r="C310" i="3"/>
  <c r="D310" i="3" s="1"/>
  <c r="I78" i="3" l="1"/>
  <c r="I69" i="3"/>
  <c r="I42" i="3"/>
  <c r="C72" i="3" l="1"/>
  <c r="D72" i="3" s="1"/>
  <c r="C202" i="3" l="1"/>
  <c r="C199" i="3"/>
  <c r="C223" i="3"/>
  <c r="D223" i="3" s="1"/>
  <c r="I18" i="3" l="1"/>
  <c r="J18" i="3" s="1"/>
  <c r="I17" i="3"/>
  <c r="I73" i="3"/>
  <c r="C241" i="3"/>
  <c r="I118" i="3"/>
  <c r="J118" i="3" s="1"/>
  <c r="D59" i="3" l="1"/>
  <c r="I75" i="3" l="1"/>
  <c r="J75" i="3" s="1"/>
  <c r="I19" i="3" l="1"/>
  <c r="J19" i="3" s="1"/>
  <c r="I46" i="3"/>
  <c r="J46" i="3" s="1"/>
  <c r="I45" i="3"/>
  <c r="J45" i="3" s="1"/>
  <c r="I56" i="3" l="1"/>
  <c r="I48" i="3"/>
  <c r="C320" i="3" l="1"/>
  <c r="D320" i="3" s="1"/>
  <c r="J303" i="3" l="1"/>
  <c r="C139" i="3"/>
  <c r="D139" i="3" s="1"/>
  <c r="D105" i="3"/>
  <c r="C102" i="3"/>
  <c r="D102" i="3" s="1"/>
  <c r="C103" i="3"/>
  <c r="D103" i="3" s="1"/>
  <c r="I103" i="3"/>
  <c r="J103" i="3" s="1"/>
  <c r="C191" i="3" l="1"/>
  <c r="D188" i="3"/>
  <c r="C185" i="3"/>
  <c r="D185" i="3" s="1"/>
  <c r="C100" i="3"/>
  <c r="D100" i="3" s="1"/>
  <c r="D115" i="3"/>
  <c r="C115" i="3"/>
  <c r="C254" i="3"/>
  <c r="C160" i="3" l="1"/>
  <c r="D160" i="3" s="1"/>
  <c r="C73" i="3"/>
  <c r="D194" i="3"/>
  <c r="C194" i="3"/>
  <c r="J194" i="3"/>
  <c r="I194" i="3"/>
  <c r="I205" i="3"/>
  <c r="J151" i="3"/>
  <c r="I151" i="3"/>
  <c r="C220" i="3"/>
  <c r="D220" i="3" s="1"/>
  <c r="C211" i="3"/>
  <c r="C263" i="3"/>
  <c r="C203" i="3"/>
  <c r="D203" i="3" s="1"/>
  <c r="D263" i="3" l="1"/>
  <c r="D73" i="3"/>
  <c r="I33" i="3"/>
  <c r="J33" i="3" s="1"/>
  <c r="C230" i="3"/>
  <c r="D230" i="3" s="1"/>
  <c r="C229" i="3"/>
  <c r="D229" i="3" s="1"/>
  <c r="I59" i="3"/>
  <c r="J59" i="3" s="1"/>
  <c r="I114" i="3"/>
  <c r="I113" i="3"/>
  <c r="J113" i="3" s="1"/>
  <c r="I20" i="3"/>
  <c r="J20" i="3" s="1"/>
  <c r="D234" i="3"/>
  <c r="C234" i="3"/>
  <c r="D91" i="3" l="1"/>
  <c r="C91" i="3"/>
  <c r="D80" i="3"/>
  <c r="C78" i="3"/>
  <c r="D76" i="3"/>
  <c r="D69" i="3"/>
  <c r="D90" i="3" l="1"/>
  <c r="C90" i="3"/>
  <c r="C104" i="3" l="1"/>
  <c r="D104" i="3" s="1"/>
  <c r="J192" i="3" l="1"/>
  <c r="J179" i="3"/>
  <c r="I188" i="3"/>
  <c r="J200" i="3" l="1"/>
  <c r="I200" i="3"/>
  <c r="D15" i="3"/>
  <c r="D14" i="3"/>
  <c r="C15" i="3"/>
  <c r="C316" i="3"/>
  <c r="J171" i="3"/>
  <c r="I171" i="3"/>
  <c r="D67" i="3"/>
  <c r="C66" i="3"/>
  <c r="J148" i="3"/>
  <c r="C224" i="3" l="1"/>
  <c r="D224" i="3" s="1"/>
  <c r="C12" i="3" l="1"/>
  <c r="C261" i="3" l="1"/>
  <c r="D261" i="3" s="1"/>
  <c r="C141" i="3"/>
  <c r="D141" i="3" s="1"/>
  <c r="C140" i="3"/>
  <c r="D140" i="3" s="1"/>
  <c r="C138" i="3"/>
  <c r="D138" i="3" s="1"/>
  <c r="I40" i="3"/>
  <c r="J40" i="3" s="1"/>
  <c r="J114" i="3"/>
  <c r="C208" i="3"/>
  <c r="C198" i="3"/>
  <c r="D198" i="3" s="1"/>
  <c r="D245" i="3" l="1"/>
  <c r="I76" i="3" l="1"/>
  <c r="I43" i="3" l="1"/>
  <c r="J43" i="3" s="1"/>
  <c r="C233" i="3"/>
  <c r="D233" i="3" s="1"/>
  <c r="C59" i="3"/>
  <c r="C245" i="3" l="1"/>
  <c r="C247" i="3"/>
  <c r="D208" i="3" l="1"/>
  <c r="I37" i="3"/>
  <c r="D129" i="3"/>
  <c r="C129" i="3"/>
  <c r="C213" i="3"/>
  <c r="C164" i="3"/>
  <c r="I305" i="3"/>
  <c r="J305" i="3" s="1"/>
  <c r="I89" i="3" l="1"/>
  <c r="J89" i="3" s="1"/>
  <c r="I243" i="3"/>
  <c r="C179" i="3" l="1"/>
  <c r="I120" i="3"/>
  <c r="C226" i="3" l="1"/>
  <c r="D226" i="3" s="1"/>
  <c r="J37" i="3"/>
  <c r="I132" i="3" l="1"/>
  <c r="J132" i="3" s="1"/>
  <c r="D84" i="3" l="1"/>
  <c r="C239" i="3" l="1"/>
  <c r="D239" i="3" s="1"/>
  <c r="C240" i="3"/>
  <c r="C75" i="3" l="1"/>
  <c r="C200" i="3" l="1"/>
  <c r="D200" i="3" s="1"/>
  <c r="C195" i="3" l="1"/>
  <c r="D195" i="3"/>
  <c r="D193" i="3" l="1"/>
  <c r="C193" i="3"/>
  <c r="C38" i="3" l="1"/>
  <c r="D38" i="3" s="1"/>
  <c r="D12" i="3" l="1"/>
  <c r="D247" i="3"/>
  <c r="C248" i="3"/>
  <c r="I35" i="3"/>
  <c r="J35" i="3" s="1"/>
  <c r="J60" i="3" l="1"/>
  <c r="I60" i="3"/>
  <c r="D128" i="3"/>
  <c r="C260" i="3" l="1"/>
  <c r="I112" i="3" l="1"/>
  <c r="I127" i="3"/>
  <c r="J127" i="3" s="1"/>
  <c r="I131" i="3"/>
  <c r="J131" i="3" s="1"/>
  <c r="J167" i="3"/>
  <c r="I167" i="3"/>
  <c r="I26" i="3"/>
  <c r="J26" i="3" s="1"/>
  <c r="I115" i="3"/>
  <c r="J115" i="3" s="1"/>
  <c r="I104" i="3"/>
  <c r="J104" i="3" s="1"/>
  <c r="I49" i="3" l="1"/>
  <c r="I64" i="3" l="1"/>
  <c r="J64" i="3" s="1"/>
  <c r="I94" i="3" l="1"/>
  <c r="D202" i="3"/>
  <c r="C162" i="3" l="1"/>
  <c r="I96" i="3" l="1"/>
  <c r="I232" i="3" l="1"/>
  <c r="J232" i="3" s="1"/>
  <c r="I231" i="3"/>
  <c r="C137" i="3" l="1"/>
  <c r="D137" i="3" s="1"/>
  <c r="I71" i="3" l="1"/>
  <c r="J71" i="3" s="1"/>
  <c r="D248" i="3"/>
  <c r="C218" i="3"/>
  <c r="D218" i="3" s="1"/>
  <c r="I234" i="3"/>
  <c r="I209" i="3" l="1"/>
  <c r="J209" i="3" s="1"/>
  <c r="J188" i="3"/>
  <c r="J182" i="3"/>
  <c r="J173" i="3"/>
  <c r="I68" i="3"/>
  <c r="J68" i="3" s="1"/>
  <c r="J56" i="3"/>
  <c r="I11" i="3"/>
  <c r="C49" i="3"/>
  <c r="D49" i="3" s="1"/>
  <c r="C30" i="3"/>
  <c r="D30" i="3"/>
  <c r="D29" i="3"/>
  <c r="C29" i="3"/>
  <c r="C14" i="3"/>
  <c r="D44" i="3" l="1"/>
  <c r="D43" i="3"/>
  <c r="I84" i="3" l="1"/>
  <c r="C235" i="3" l="1"/>
  <c r="D235" i="3" s="1"/>
  <c r="D197" i="3"/>
  <c r="C197" i="3"/>
  <c r="D131" i="3"/>
  <c r="C131" i="3"/>
  <c r="D133" i="3"/>
  <c r="C133" i="3"/>
  <c r="D40" i="3"/>
  <c r="C40" i="3"/>
  <c r="D120" i="3"/>
  <c r="C120" i="3"/>
  <c r="D119" i="3"/>
  <c r="D122" i="3"/>
  <c r="C119" i="3"/>
  <c r="D118" i="3"/>
  <c r="C118" i="3"/>
  <c r="I90" i="3"/>
  <c r="J90" i="3" l="1"/>
  <c r="I100" i="3"/>
  <c r="J100" i="3" s="1"/>
  <c r="C227" i="3" l="1"/>
  <c r="D227" i="3" s="1"/>
  <c r="C151" i="3" l="1"/>
  <c r="C122" i="3"/>
  <c r="C221" i="3"/>
  <c r="D221" i="3" s="1"/>
  <c r="J169" i="3" l="1"/>
  <c r="I169" i="3"/>
  <c r="C188" i="3"/>
  <c r="D183" i="3"/>
  <c r="C183" i="3"/>
  <c r="C312" i="3" l="1"/>
  <c r="D312" i="3" s="1"/>
  <c r="I86" i="3"/>
  <c r="J86" i="3" s="1"/>
  <c r="D78" i="3" l="1"/>
  <c r="J150" i="3"/>
  <c r="J143" i="3"/>
  <c r="I143" i="3"/>
  <c r="I99" i="3" l="1"/>
  <c r="J99" i="3" s="1"/>
  <c r="C36" i="3" l="1"/>
  <c r="C165" i="3"/>
  <c r="C215" i="3"/>
  <c r="D215" i="3" s="1"/>
  <c r="C109" i="3" l="1"/>
  <c r="D109" i="3" s="1"/>
  <c r="D11" i="3"/>
  <c r="C13" i="3"/>
  <c r="D13" i="3" s="1"/>
  <c r="I58" i="3" l="1"/>
  <c r="J58" i="3" s="1"/>
  <c r="C225" i="3"/>
  <c r="D180" i="3" l="1"/>
  <c r="C152" i="3" l="1"/>
  <c r="C153" i="3"/>
  <c r="D153" i="3" s="1"/>
  <c r="I105" i="3"/>
  <c r="J105" i="3" s="1"/>
  <c r="D152" i="3" l="1"/>
  <c r="C228" i="3" l="1"/>
  <c r="D228" i="3" s="1"/>
  <c r="I79" i="3" l="1"/>
  <c r="I122" i="3" l="1"/>
  <c r="J122" i="3" s="1"/>
  <c r="I111" i="3" l="1"/>
  <c r="C222" i="3" l="1"/>
  <c r="D222" i="3" s="1"/>
  <c r="C96" i="3" l="1"/>
  <c r="D96" i="3" s="1"/>
  <c r="D158" i="3"/>
  <c r="C158" i="3"/>
  <c r="D174" i="3" l="1"/>
  <c r="C174" i="3"/>
  <c r="C44" i="3"/>
  <c r="I25" i="3"/>
  <c r="J25" i="3" s="1"/>
  <c r="C39" i="3" l="1"/>
  <c r="D39" i="3" s="1"/>
  <c r="C63" i="3" l="1"/>
  <c r="D63" i="3" s="1"/>
  <c r="C62" i="3"/>
  <c r="D62" i="3" s="1"/>
  <c r="I27" i="3"/>
  <c r="D42" i="3" l="1"/>
  <c r="D254" i="3"/>
  <c r="D255" i="3"/>
  <c r="D93" i="3"/>
  <c r="C93" i="3"/>
  <c r="D70" i="3"/>
  <c r="D28" i="3" l="1"/>
  <c r="C28" i="3"/>
  <c r="D27" i="3"/>
  <c r="C27" i="3"/>
  <c r="D26" i="3"/>
  <c r="C26" i="3"/>
  <c r="C101" i="3"/>
  <c r="D101" i="3" s="1"/>
  <c r="I258" i="3"/>
  <c r="J258" i="3" s="1"/>
  <c r="C262" i="3" l="1"/>
  <c r="D112" i="3"/>
  <c r="I106" i="3" l="1"/>
  <c r="I107" i="3"/>
  <c r="D225" i="3"/>
  <c r="J76" i="3" l="1"/>
  <c r="J183" i="3"/>
  <c r="I183" i="3"/>
  <c r="J180" i="3"/>
  <c r="I180" i="3"/>
  <c r="J207" i="3"/>
  <c r="I207" i="3"/>
  <c r="D316" i="3"/>
  <c r="J145" i="3"/>
  <c r="I145" i="3"/>
  <c r="J146" i="3"/>
  <c r="I146" i="3"/>
  <c r="I192" i="3" l="1"/>
  <c r="J186" i="3"/>
  <c r="J184" i="3"/>
  <c r="I181" i="3"/>
  <c r="J242" i="3"/>
  <c r="I242" i="3"/>
  <c r="J238" i="3"/>
  <c r="I238" i="3"/>
  <c r="J237" i="3"/>
  <c r="I237" i="3"/>
  <c r="D16" i="3"/>
  <c r="C16" i="3"/>
  <c r="J204" i="3"/>
  <c r="J202" i="3"/>
  <c r="I202" i="3"/>
  <c r="D51" i="3"/>
  <c r="C51" i="3"/>
  <c r="J214" i="3"/>
  <c r="I214" i="3"/>
  <c r="J211" i="3"/>
  <c r="I211" i="3"/>
  <c r="D36" i="3"/>
  <c r="D315" i="3"/>
  <c r="D66" i="3"/>
  <c r="D319" i="3"/>
  <c r="J172" i="3"/>
  <c r="I172" i="3"/>
  <c r="D19" i="3"/>
  <c r="D192" i="3" l="1"/>
  <c r="C192" i="3"/>
  <c r="I51" i="3"/>
  <c r="J51" i="3" s="1"/>
  <c r="C321" i="3"/>
  <c r="D321" i="3" s="1"/>
  <c r="I81" i="3" l="1"/>
  <c r="I41" i="3"/>
  <c r="C232" i="3" l="1"/>
  <c r="C207" i="3"/>
  <c r="D207" i="3" s="1"/>
  <c r="C205" i="3"/>
  <c r="D205" i="3" l="1"/>
  <c r="D262" i="3"/>
  <c r="D259" i="3"/>
  <c r="D258" i="3"/>
  <c r="D256" i="3"/>
  <c r="D253" i="3"/>
  <c r="D252" i="3"/>
  <c r="D251" i="3"/>
  <c r="D249" i="3"/>
  <c r="D244" i="3"/>
  <c r="C244" i="3"/>
  <c r="D242" i="3"/>
  <c r="C242" i="3"/>
  <c r="D241" i="3"/>
  <c r="J241" i="3"/>
  <c r="J239" i="3"/>
  <c r="J234" i="3"/>
  <c r="J227" i="3"/>
  <c r="J212" i="3"/>
  <c r="J210" i="3"/>
  <c r="J208" i="3"/>
  <c r="J206" i="3"/>
  <c r="J205" i="3"/>
  <c r="I203" i="3"/>
  <c r="J203" i="3" s="1"/>
  <c r="I201" i="3"/>
  <c r="J201" i="3" s="1"/>
  <c r="J199" i="3"/>
  <c r="J198" i="3"/>
  <c r="J197" i="3"/>
  <c r="J196" i="3"/>
  <c r="J195" i="3"/>
  <c r="I193" i="3"/>
  <c r="J193" i="3" s="1"/>
  <c r="J190" i="3"/>
  <c r="J187" i="3"/>
  <c r="I178" i="3"/>
  <c r="J175" i="3"/>
  <c r="J174" i="3"/>
  <c r="J170" i="3"/>
  <c r="J168" i="3"/>
  <c r="I168" i="3"/>
  <c r="J166" i="3"/>
  <c r="J159" i="3"/>
  <c r="J158" i="3"/>
  <c r="J156" i="3"/>
  <c r="J155" i="3"/>
  <c r="J153" i="3"/>
  <c r="J154" i="3"/>
  <c r="J152" i="3"/>
  <c r="J144" i="3"/>
  <c r="J147" i="3"/>
  <c r="J141" i="3"/>
  <c r="J140" i="3"/>
  <c r="D191" i="3"/>
  <c r="D190" i="3"/>
  <c r="D189" i="3"/>
  <c r="D187" i="3"/>
  <c r="D186" i="3"/>
  <c r="D182" i="3"/>
  <c r="D181" i="3"/>
  <c r="D179" i="3"/>
  <c r="C176" i="3"/>
  <c r="D176" i="3"/>
  <c r="D173" i="3"/>
  <c r="C173" i="3"/>
  <c r="I135" i="3" l="1"/>
  <c r="J135" i="3" s="1"/>
  <c r="D165" i="3"/>
  <c r="C161" i="3"/>
  <c r="D161" i="3" s="1"/>
  <c r="D159" i="3"/>
  <c r="C159" i="3"/>
  <c r="D157" i="3"/>
  <c r="C157" i="3"/>
  <c r="D151" i="3"/>
  <c r="D135" i="3"/>
  <c r="D134" i="3"/>
  <c r="D130" i="3"/>
  <c r="D127" i="3"/>
  <c r="D114" i="3"/>
  <c r="D113" i="3"/>
  <c r="D110" i="3"/>
  <c r="D108" i="3"/>
  <c r="C107" i="3"/>
  <c r="D107" i="3" s="1"/>
  <c r="D106" i="3"/>
  <c r="D95" i="3"/>
  <c r="D92" i="3"/>
  <c r="D89" i="3"/>
  <c r="D87" i="3"/>
  <c r="D86" i="3"/>
  <c r="D85" i="3"/>
  <c r="D83" i="3"/>
  <c r="D82" i="3"/>
  <c r="D75" i="3"/>
  <c r="D74" i="3"/>
  <c r="C74" i="3"/>
  <c r="D71" i="3"/>
  <c r="I121" i="3" l="1"/>
  <c r="J121" i="3" s="1"/>
  <c r="J112" i="3"/>
  <c r="I110" i="3"/>
  <c r="J110" i="3" s="1"/>
  <c r="I108" i="3"/>
  <c r="J108" i="3" s="1"/>
  <c r="J107" i="3"/>
  <c r="J106" i="3"/>
  <c r="I92" i="3" l="1"/>
  <c r="J92" i="3" s="1"/>
  <c r="J96" i="3"/>
  <c r="J78" i="3"/>
  <c r="I88" i="3"/>
  <c r="J88" i="3" s="1"/>
  <c r="J87" i="3"/>
  <c r="I87" i="3"/>
  <c r="I83" i="3"/>
  <c r="J83" i="3" s="1"/>
  <c r="J81" i="3"/>
  <c r="J79" i="3"/>
  <c r="J69" i="3"/>
  <c r="I66" i="3"/>
  <c r="J66" i="3" s="1"/>
  <c r="I61" i="3"/>
  <c r="J61" i="3" s="1"/>
  <c r="I44" i="3"/>
  <c r="J44" i="3" s="1"/>
  <c r="J41" i="3"/>
  <c r="J42" i="3"/>
  <c r="I34" i="3"/>
  <c r="J34" i="3" s="1"/>
  <c r="I32" i="3"/>
  <c r="J32" i="3" s="1"/>
  <c r="J31" i="3"/>
  <c r="I29" i="3"/>
  <c r="J29" i="3" s="1"/>
  <c r="J24" i="3"/>
  <c r="I14" i="3"/>
  <c r="J14" i="3" s="1"/>
  <c r="I16" i="3"/>
  <c r="J16" i="3" s="1"/>
  <c r="I15" i="3"/>
  <c r="J15" i="3" s="1"/>
  <c r="J11" i="3"/>
  <c r="D65" i="3"/>
  <c r="D64" i="3"/>
  <c r="D61" i="3" l="1"/>
  <c r="D57" i="3"/>
  <c r="D56" i="3"/>
  <c r="D54" i="3"/>
  <c r="D58" i="3"/>
  <c r="D53" i="3"/>
  <c r="D52" i="3"/>
  <c r="D50" i="3"/>
  <c r="D48" i="3"/>
  <c r="D47" i="3"/>
  <c r="D41" i="3" l="1"/>
  <c r="D37" i="3"/>
  <c r="D35" i="3"/>
  <c r="D34" i="3"/>
  <c r="D33" i="3"/>
  <c r="D18" i="3" l="1"/>
  <c r="D17" i="3"/>
  <c r="C17" i="3"/>
  <c r="C186" i="3" l="1"/>
  <c r="C48" i="3"/>
  <c r="J178" i="3"/>
  <c r="J73" i="3" l="1"/>
  <c r="C84" i="3" l="1"/>
  <c r="I12" i="3"/>
  <c r="J12" i="3" s="1"/>
  <c r="I254" i="3"/>
  <c r="J254" i="3" s="1"/>
  <c r="C47" i="3" l="1"/>
  <c r="C190" i="3"/>
  <c r="C106" i="3"/>
  <c r="C181" i="3"/>
  <c r="C134" i="3"/>
  <c r="C255" i="3"/>
  <c r="C256" i="3"/>
  <c r="I306" i="3" l="1"/>
  <c r="I304" i="3"/>
  <c r="J304" i="3" s="1"/>
  <c r="J306" i="3" l="1"/>
  <c r="I179" i="3" l="1"/>
  <c r="C130" i="3" l="1"/>
  <c r="C89" i="3" l="1"/>
  <c r="J231" i="3" l="1"/>
  <c r="I198" i="3"/>
  <c r="I30" i="3"/>
  <c r="J30" i="3" s="1"/>
  <c r="I125" i="3"/>
  <c r="J125" i="3" s="1"/>
  <c r="J84" i="3"/>
  <c r="I261" i="3"/>
  <c r="J261" i="3" s="1"/>
  <c r="I260" i="3"/>
  <c r="J260" i="3" s="1"/>
  <c r="I259" i="3"/>
  <c r="J259" i="3" s="1"/>
  <c r="I257" i="3"/>
  <c r="J257" i="3" s="1"/>
  <c r="I255" i="3"/>
  <c r="J255" i="3" s="1"/>
  <c r="I252" i="3"/>
  <c r="J252" i="3" s="1"/>
  <c r="I241" i="3"/>
  <c r="I239" i="3"/>
  <c r="C258" i="3"/>
  <c r="C257" i="3"/>
  <c r="C253" i="3"/>
  <c r="I233" i="3"/>
  <c r="J233" i="3" s="1"/>
  <c r="C252" i="3"/>
  <c r="I227" i="3"/>
  <c r="C251" i="3"/>
  <c r="I220" i="3"/>
  <c r="J220" i="3" s="1"/>
  <c r="C243" i="3"/>
  <c r="D243" i="3" s="1"/>
  <c r="I213" i="3"/>
  <c r="I212" i="3"/>
  <c r="I210" i="3"/>
  <c r="D240" i="3"/>
  <c r="I208" i="3"/>
  <c r="C238" i="3"/>
  <c r="D238" i="3" s="1"/>
  <c r="I206" i="3"/>
  <c r="D232" i="3"/>
  <c r="C231" i="3"/>
  <c r="D231" i="3" s="1"/>
  <c r="I199" i="3"/>
  <c r="I196" i="3"/>
  <c r="I195" i="3"/>
  <c r="C219" i="3"/>
  <c r="D219" i="3" s="1"/>
  <c r="I191" i="3"/>
  <c r="I190" i="3"/>
  <c r="I189" i="3"/>
  <c r="J189" i="3" s="1"/>
  <c r="I187" i="3"/>
  <c r="I186" i="3"/>
  <c r="C217" i="3"/>
  <c r="D217" i="3" s="1"/>
  <c r="C216" i="3"/>
  <c r="D216" i="3" s="1"/>
  <c r="I184" i="3"/>
  <c r="C214" i="3"/>
  <c r="D214" i="3" s="1"/>
  <c r="D213" i="3"/>
  <c r="C212" i="3"/>
  <c r="D212" i="3" s="1"/>
  <c r="D211" i="3"/>
  <c r="I177" i="3"/>
  <c r="J177" i="3" s="1"/>
  <c r="C210" i="3"/>
  <c r="D210" i="3" s="1"/>
  <c r="C209" i="3"/>
  <c r="D209" i="3" s="1"/>
  <c r="I175" i="3"/>
  <c r="I174" i="3"/>
  <c r="I173" i="3"/>
  <c r="C206" i="3"/>
  <c r="I170" i="3"/>
  <c r="C204" i="3"/>
  <c r="D204" i="3" s="1"/>
  <c r="I166" i="3"/>
  <c r="D201" i="3"/>
  <c r="I159" i="3"/>
  <c r="D199" i="3"/>
  <c r="I158" i="3"/>
  <c r="I156" i="3"/>
  <c r="I155" i="3"/>
  <c r="I153" i="3"/>
  <c r="I154" i="3"/>
  <c r="C189" i="3"/>
  <c r="I144" i="3"/>
  <c r="C187" i="3"/>
  <c r="I147" i="3"/>
  <c r="C182" i="3"/>
  <c r="C180" i="3"/>
  <c r="I140" i="3"/>
  <c r="I138" i="3"/>
  <c r="J138" i="3" s="1"/>
  <c r="C172" i="3"/>
  <c r="I137" i="3"/>
  <c r="J137" i="3" s="1"/>
  <c r="C171" i="3"/>
  <c r="I136" i="3"/>
  <c r="J136" i="3" s="1"/>
  <c r="C170" i="3"/>
  <c r="D170" i="3" s="1"/>
  <c r="C169" i="3"/>
  <c r="I134" i="3"/>
  <c r="J134" i="3" s="1"/>
  <c r="C168" i="3"/>
  <c r="D168" i="3" s="1"/>
  <c r="I133" i="3"/>
  <c r="J133" i="3" s="1"/>
  <c r="C167" i="3"/>
  <c r="I129" i="3"/>
  <c r="J129" i="3" s="1"/>
  <c r="I128" i="3"/>
  <c r="J128" i="3" s="1"/>
  <c r="I126" i="3"/>
  <c r="J126" i="3" s="1"/>
  <c r="D164" i="3"/>
  <c r="I124" i="3"/>
  <c r="J124" i="3" s="1"/>
  <c r="D163" i="3"/>
  <c r="D162" i="3"/>
  <c r="I123" i="3"/>
  <c r="J120" i="3"/>
  <c r="I117" i="3"/>
  <c r="J117" i="3" s="1"/>
  <c r="I116" i="3"/>
  <c r="J116" i="3" s="1"/>
  <c r="J111" i="3"/>
  <c r="I109" i="3"/>
  <c r="J109" i="3" s="1"/>
  <c r="C135" i="3"/>
  <c r="C127" i="3"/>
  <c r="I85" i="3"/>
  <c r="J85" i="3" s="1"/>
  <c r="C114" i="3"/>
  <c r="C113" i="3"/>
  <c r="I98" i="3"/>
  <c r="J98" i="3" s="1"/>
  <c r="I97" i="3"/>
  <c r="J97" i="3" s="1"/>
  <c r="I95" i="3"/>
  <c r="J95" i="3" s="1"/>
  <c r="C110" i="3"/>
  <c r="J94" i="3"/>
  <c r="C108" i="3"/>
  <c r="I93" i="3"/>
  <c r="J93" i="3" s="1"/>
  <c r="I102" i="3"/>
  <c r="J102" i="3" s="1"/>
  <c r="I101" i="3"/>
  <c r="J101" i="3" s="1"/>
  <c r="I91" i="3"/>
  <c r="J91" i="3" s="1"/>
  <c r="C95" i="3"/>
  <c r="C92" i="3"/>
  <c r="I82" i="3"/>
  <c r="J82" i="3" s="1"/>
  <c r="I80" i="3"/>
  <c r="J80" i="3" s="1"/>
  <c r="C87" i="3"/>
  <c r="C86" i="3"/>
  <c r="I72" i="3"/>
  <c r="J72" i="3" s="1"/>
  <c r="C85" i="3"/>
  <c r="I67" i="3"/>
  <c r="J67" i="3" s="1"/>
  <c r="C83" i="3"/>
  <c r="C82" i="3"/>
  <c r="I65" i="3"/>
  <c r="J65" i="3" s="1"/>
  <c r="C81" i="3"/>
  <c r="C80" i="3"/>
  <c r="I63" i="3"/>
  <c r="J63" i="3" s="1"/>
  <c r="I62" i="3"/>
  <c r="J62" i="3" s="1"/>
  <c r="I57" i="3"/>
  <c r="J57" i="3" s="1"/>
  <c r="I55" i="3"/>
  <c r="J55" i="3" s="1"/>
  <c r="C71" i="3"/>
  <c r="I54" i="3"/>
  <c r="J54" i="3" s="1"/>
  <c r="I52" i="3"/>
  <c r="J52" i="3" s="1"/>
  <c r="C67" i="3"/>
  <c r="I53" i="3"/>
  <c r="J53" i="3" s="1"/>
  <c r="I70" i="3"/>
  <c r="J70" i="3" s="1"/>
  <c r="C65" i="3"/>
  <c r="C64" i="3"/>
  <c r="I50" i="3"/>
  <c r="J50" i="3" s="1"/>
  <c r="J49" i="3"/>
  <c r="J48" i="3"/>
  <c r="C61" i="3"/>
  <c r="I47" i="3"/>
  <c r="J47" i="3" s="1"/>
  <c r="C57" i="3"/>
  <c r="C56" i="3"/>
  <c r="C54" i="3"/>
  <c r="I38" i="3"/>
  <c r="J38" i="3" s="1"/>
  <c r="C58" i="3"/>
  <c r="C53" i="3"/>
  <c r="I36" i="3"/>
  <c r="J36" i="3" s="1"/>
  <c r="C50" i="3"/>
  <c r="C43" i="3"/>
  <c r="C42" i="3"/>
  <c r="I28" i="3"/>
  <c r="J28" i="3" s="1"/>
  <c r="C41" i="3"/>
  <c r="J27" i="3"/>
  <c r="C37" i="3"/>
  <c r="I23" i="3"/>
  <c r="J23" i="3" s="1"/>
  <c r="C35" i="3"/>
  <c r="C34" i="3"/>
  <c r="I74" i="3"/>
  <c r="J74" i="3" s="1"/>
  <c r="C33" i="3"/>
  <c r="I22" i="3"/>
  <c r="I21" i="3"/>
  <c r="J21" i="3" s="1"/>
  <c r="C19" i="3"/>
  <c r="C18" i="3"/>
  <c r="J17" i="3"/>
  <c r="I13" i="3"/>
  <c r="J123" i="3" l="1"/>
  <c r="J13" i="3"/>
  <c r="J22" i="3"/>
  <c r="D206" i="3"/>
  <c r="J243" i="3"/>
  <c r="D167" i="3"/>
  <c r="D169" i="3"/>
  <c r="D171" i="3"/>
  <c r="D172" i="3"/>
</calcChain>
</file>

<file path=xl/sharedStrings.xml><?xml version="1.0" encoding="utf-8"?>
<sst xmlns="http://schemas.openxmlformats.org/spreadsheetml/2006/main" count="661" uniqueCount="637">
  <si>
    <t>Держатель для бумажных полотенец</t>
  </si>
  <si>
    <t>на</t>
  </si>
  <si>
    <t xml:space="preserve">Наименование </t>
  </si>
  <si>
    <t>Цена без НДС</t>
  </si>
  <si>
    <t xml:space="preserve"> шт. 
в кор.</t>
  </si>
  <si>
    <t>Расходники для уборки (салфетки, тряпки, губки)</t>
  </si>
  <si>
    <t>Бытовая химия</t>
  </si>
  <si>
    <t>Ткань х/б вафельная  отбеленная, арт.53 (351), шир.95*</t>
  </si>
  <si>
    <t>60-70</t>
  </si>
  <si>
    <t>Тряпка д/пола "Умничка" х/б бел. 60*70 см MPU0649</t>
  </si>
  <si>
    <t>Тряпка д/пола "Умничка" х/б бел 70*75 см  MPU1202</t>
  </si>
  <si>
    <t>Тряпка д/пола "Умничка" х/б бел 80*100 см MPU1189</t>
  </si>
  <si>
    <t>Тряпка д/пола "Умничка" х/б серая 50*60 см MPU1769</t>
  </si>
  <si>
    <t>Тряпка д/пола "Умничка" х/б серая 60*70 см MPU0462</t>
  </si>
  <si>
    <t>Губка из ПВА "Умничка" для отжимных швабр F-01 универс.</t>
  </si>
  <si>
    <t>Насадка д/мытья пола веревоч. микроф.(200/4) син. M-200/4</t>
  </si>
  <si>
    <t>Насадка д/мытья пола веревоч. микроф.(200/6) син. M-200/6</t>
  </si>
  <si>
    <r>
      <t>Насадка д/швабры Флеттер м/фибра-лапша 42*12</t>
    </r>
    <r>
      <rPr>
        <sz val="9"/>
        <rFont val="Arial"/>
        <family val="2"/>
        <charset val="204"/>
      </rPr>
      <t>см</t>
    </r>
    <r>
      <rPr>
        <sz val="1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KD-R10</t>
    </r>
  </si>
  <si>
    <t xml:space="preserve">Салфетка из МИКРОФИБРЫ 30*30 SY-P-001 MP04 </t>
  </si>
  <si>
    <r>
      <t xml:space="preserve">Салфетка из МИКРОФ-РЫ 29*29 1шт., разн. цв. </t>
    </r>
    <r>
      <rPr>
        <sz val="9"/>
        <rFont val="Arial"/>
        <family val="2"/>
        <charset val="204"/>
      </rPr>
      <t>МУ01-МУ08</t>
    </r>
    <r>
      <rPr>
        <sz val="10"/>
        <rFont val="Arial"/>
        <family val="2"/>
        <charset val="204"/>
      </rPr>
      <t xml:space="preserve">
</t>
    </r>
  </si>
  <si>
    <t>Салфетка из МИКРОФ-РЫ д\стекла 35*35 508 роз. М250G2</t>
  </si>
  <si>
    <t>Салфетка из МИКРОФИБРЫ 50*59 (голубой) М250F3</t>
  </si>
  <si>
    <t>Салфетка искусств. замша, д\авто 50*38, арт 00-03-0218</t>
  </si>
  <si>
    <t>Салфетки-скраб "Умничка"133*135мм 3шт. MPU0571</t>
  </si>
  <si>
    <t>Губка профильная, с абразивом, 130*65*45 мм, Г-33</t>
  </si>
  <si>
    <t xml:space="preserve">Губка д/посуды  5 шт « Бережливая хозяйка» 85х64х42 Б004 </t>
  </si>
  <si>
    <t>Мешки для Мусора</t>
  </si>
  <si>
    <r>
      <t>Мешки д/мусора ПВД 70*110 (</t>
    </r>
    <r>
      <rPr>
        <sz val="9"/>
        <rFont val="Arial"/>
        <family val="2"/>
        <charset val="204"/>
      </rPr>
      <t>120л.</t>
    </r>
    <r>
      <rPr>
        <sz val="10"/>
        <rFont val="Arial"/>
        <family val="2"/>
        <charset val="204"/>
      </rPr>
      <t>), 50 мк.  ПЛ120049</t>
    </r>
  </si>
  <si>
    <t xml:space="preserve">Мешки д/мусора ПВД 70*110 (120л.), 60 мк. черн. ПЛ120058 </t>
  </si>
  <si>
    <t>Мешки д/мусора ПВД 90*110,180л., 50 мкм. черн. ПЛ180068</t>
  </si>
  <si>
    <r>
      <t xml:space="preserve">Мешки д/мус-а ПВД 240л,1р-10шт, 45мк. Premium+ </t>
    </r>
    <r>
      <rPr>
        <sz val="8"/>
        <rFont val="Arial"/>
        <family val="2"/>
        <charset val="204"/>
      </rPr>
      <t>24010830</t>
    </r>
  </si>
  <si>
    <t>Пакет п/э 550мм*800мм*65мк прозрач-й д\мусора, упак-ки</t>
  </si>
  <si>
    <t>Товары для Кухни и Бара</t>
  </si>
  <si>
    <t>Фартук ПВХ 90смх120см с завязками из нетканного мат-ла</t>
  </si>
  <si>
    <t>Рукав для запекания Komfi 300ммх3м в коробке BSP012S</t>
  </si>
  <si>
    <t>Зубочистки в пластиковой баночке по 500 шт</t>
  </si>
  <si>
    <t>Зубочистки в пластиковой баночке по 100шт</t>
  </si>
  <si>
    <t>Контейнер для приготовления льда МП+(100)</t>
  </si>
  <si>
    <t>Термометр СТ-8/10(для холодильника)</t>
  </si>
  <si>
    <t>Дезинфицирующие Средства</t>
  </si>
  <si>
    <t>Перчатки</t>
  </si>
  <si>
    <t>Перчатки х/б с напылением ПВХ 10 класс 4 нитки</t>
  </si>
  <si>
    <t>Перчатки х/б с напылением ПВХ точка, 10 класс, 5 ниток, РФ</t>
  </si>
  <si>
    <t>Перчатки х/б двойной облив латекс РФ</t>
  </si>
  <si>
    <t>Пероксин Плюс д/поверхностй, обработка оборудования</t>
  </si>
  <si>
    <t>Перчатки х/б одинарный  облив</t>
  </si>
  <si>
    <t>Дезинф-щее сред-во ОКА-ТАБ (хлорка в таблетках)</t>
  </si>
  <si>
    <t>Хозяйственный инвентарь</t>
  </si>
  <si>
    <t>Перчатки хоз-ые 2х "Бережливая хозяйка" роз. M,L Б101</t>
  </si>
  <si>
    <t>Перчатки хоз. лат-ые универ-ые GLOVES M,L,XL син/ 25пар</t>
  </si>
  <si>
    <t>Перчатки хозяйстченные лакексные Gloves, пара. Р-р M,L,XL</t>
  </si>
  <si>
    <t>Ведро 13 л., РБ</t>
  </si>
  <si>
    <t xml:space="preserve"> Бумажные изделия</t>
  </si>
  <si>
    <t>Ведро для краски прямоугольное 12л. МП (12) MPG622982</t>
  </si>
  <si>
    <t>Бумага туалетная без аромата Zewa Deluxe1*4 рул.</t>
  </si>
  <si>
    <t>Бумага туалетная Zewa Плюс белая, 1*4 рул.</t>
  </si>
  <si>
    <t>Комплект д\туалета WC "Бруно" бел.,беж., гол., MPG0014</t>
  </si>
  <si>
    <t>Комплект WC "Колокольчик" бел.,беж., гол.,бир. MPG020868</t>
  </si>
  <si>
    <t>Бумага туал-ая "Мякишко Deluxe" белая 1*4 рул, 2-слойная</t>
  </si>
  <si>
    <t>Метла круглая пластик №4 (42*d 10см) MPG0045</t>
  </si>
  <si>
    <t>Бумага туалетная "150 Хатнiк"140 гр. 55м.</t>
  </si>
  <si>
    <t>Бумага туалетная "Мякишко-плюс 65" РБ без втулки</t>
  </si>
  <si>
    <t>Бумага туалетная "175 Хатнiк" 165 гр. 65м.</t>
  </si>
  <si>
    <t>Бумага туалетная "Мякишко - Эконом 200 н/вт" РБ</t>
  </si>
  <si>
    <t>Щетка "УТЮГ" большая  MPG020103</t>
  </si>
  <si>
    <t>Бумага туалетная "Мякишко - Эконом 200" РБ</t>
  </si>
  <si>
    <t>Щетка универсальная "Римини". MPG1617</t>
  </si>
  <si>
    <t xml:space="preserve">Бумага туалетная "300 Хатнiк" 215гр. 85 м. </t>
  </si>
  <si>
    <t>Бумага туалетная "200 Хатнiк" без втулки 165 гр</t>
  </si>
  <si>
    <t>Щетка для рук "КАССИЯ" MPG020196</t>
  </si>
  <si>
    <t>Полотенце двухслойное Desna Premium V-сложение, 200л</t>
  </si>
  <si>
    <t>Щетка подметальная "ЭЛИССА"  MPG020141</t>
  </si>
  <si>
    <t>Щетка полотерная "ШРОБЕР"  MPG020158</t>
  </si>
  <si>
    <t xml:space="preserve">Полотенце цел-ное "Soffione Maxi" белое 1*1 рулон, 2-х сл. </t>
  </si>
  <si>
    <t>Щетка+совок "ЛЕНИВКА" салат.щетина MPG1561</t>
  </si>
  <si>
    <t>Щетка стальная 4-рядная LIDER.  E052071</t>
  </si>
  <si>
    <t>Черенок для щеток Хром 130см  MPG 1509</t>
  </si>
  <si>
    <t>Полотенце целю-ое 1слойное макул. Н20 "Мякишко" 2- рул.</t>
  </si>
  <si>
    <t>Салфетки бум-ные двухсл. "Bouquet Color" 20 листов 33*33</t>
  </si>
  <si>
    <t>Салфетки бумажные двухсл. "Bouquet Elegance" 25 л. 33*33</t>
  </si>
  <si>
    <t>Совок с резинкой "Премиум" MPG021117</t>
  </si>
  <si>
    <t>Упаковочные материалы</t>
  </si>
  <si>
    <t>Совок с резинкой + щетка-сметка. MPG021131/21155</t>
  </si>
  <si>
    <t>Совок хозяйственный мелаллический с ручкой, РБ</t>
  </si>
  <si>
    <t>Шпагат пеньковый590м(+/- 10%)1700текс(1боб.=1кг)Komfi</t>
  </si>
  <si>
    <t>Сетка для овощей рукав в рул. по 300м арт. 409-007</t>
  </si>
  <si>
    <t>Клейкая лента монтажная 12мм*5м TFM202T</t>
  </si>
  <si>
    <t>Стяжка для пола пластик 55 см, KY5575</t>
  </si>
  <si>
    <t xml:space="preserve">Клейкая лента монтажная 19мм*5м TFM902T </t>
  </si>
  <si>
    <t>Стяжка для пола металл 55 см, MYS504</t>
  </si>
  <si>
    <t>Лента полипропиленовая двустороняя 38мм*10м Klebebander</t>
  </si>
  <si>
    <t xml:space="preserve">Ручка для стяжки 2,1x130 см, пластик  MSG287 </t>
  </si>
  <si>
    <t>Клейкая лента (скотч) 48*66м акрил прозр.</t>
  </si>
  <si>
    <t>Швабра Флеттер "Умничка" с телескопической ручкой 120 см, с насадкой микроф. лапша. Оран., салат. KD-8118-О</t>
  </si>
  <si>
    <t>Швабра 2-сторонн."Умничка"м/фибр.+шенил KD-8125</t>
  </si>
  <si>
    <t xml:space="preserve">Одноразовая посуда </t>
  </si>
  <si>
    <t>Швабра эконом "Умничка" м/фибра лапша KD-16F02</t>
  </si>
  <si>
    <t>Лопата совковая снегоуборочная  с черенком ДМ комплект</t>
  </si>
  <si>
    <t>Лопата для снега Люкс с черенком ( черный)</t>
  </si>
  <si>
    <t>Лопата ЛСУ без черенка</t>
  </si>
  <si>
    <t>Пломба пластиковая "Оптима"</t>
  </si>
  <si>
    <t xml:space="preserve">Коврик диэлектрический 50*50 см. </t>
  </si>
  <si>
    <t xml:space="preserve">Дозаторы, Держатели, Урны </t>
  </si>
  <si>
    <t>Дозатор для жидкого мыла обычный емкостью 1л.</t>
  </si>
  <si>
    <r>
      <rPr>
        <b/>
        <i/>
        <sz val="12"/>
        <rFont val="Arial"/>
        <family val="2"/>
        <charset val="204"/>
      </rPr>
      <t>Наши преимущества:</t>
    </r>
    <r>
      <rPr>
        <i/>
        <sz val="12"/>
        <rFont val="Arial"/>
        <family val="2"/>
        <charset val="204"/>
      </rPr>
      <t xml:space="preserve">
- </t>
    </r>
    <r>
      <rPr>
        <b/>
        <i/>
        <sz val="12"/>
        <rFont val="Arial"/>
        <family val="2"/>
        <charset val="204"/>
      </rPr>
      <t xml:space="preserve">невысокие цены </t>
    </r>
    <r>
      <rPr>
        <i/>
        <sz val="12"/>
        <rFont val="Arial"/>
        <family val="2"/>
        <charset val="204"/>
      </rPr>
      <t xml:space="preserve">при достойном качестве;
- </t>
    </r>
    <r>
      <rPr>
        <b/>
        <i/>
        <sz val="12"/>
        <rFont val="Arial"/>
        <family val="2"/>
        <charset val="204"/>
      </rPr>
      <t>скидки и отсрочки</t>
    </r>
    <r>
      <rPr>
        <i/>
        <sz val="12"/>
        <rFont val="Arial"/>
        <family val="2"/>
        <charset val="204"/>
      </rPr>
      <t xml:space="preserve"> для постоянных клиентов и оптовиков;
- выгодное </t>
    </r>
    <r>
      <rPr>
        <b/>
        <i/>
        <sz val="12"/>
        <rFont val="Arial"/>
        <family val="2"/>
        <charset val="204"/>
      </rPr>
      <t>расположение в центре города;</t>
    </r>
    <r>
      <rPr>
        <i/>
        <sz val="12"/>
        <rFont val="Arial"/>
        <family val="2"/>
        <charset val="204"/>
      </rPr>
      <t xml:space="preserve">
- постоянное </t>
    </r>
    <r>
      <rPr>
        <b/>
        <i/>
        <sz val="12"/>
        <rFont val="Arial"/>
        <family val="2"/>
        <charset val="204"/>
      </rPr>
      <t>наличие товара на складе;</t>
    </r>
    <r>
      <rPr>
        <i/>
        <sz val="12"/>
        <rFont val="Arial"/>
        <family val="2"/>
        <charset val="204"/>
      </rPr>
      <t xml:space="preserve">
- </t>
    </r>
    <r>
      <rPr>
        <b/>
        <i/>
        <sz val="12"/>
        <rFont val="Arial"/>
        <family val="2"/>
        <charset val="204"/>
      </rPr>
      <t>удобная форма расчета</t>
    </r>
    <r>
      <rPr>
        <i/>
        <sz val="12"/>
        <rFont val="Arial"/>
        <family val="2"/>
        <charset val="204"/>
      </rPr>
      <t xml:space="preserve"> (нал/безнал, белкарт, VISA, MasterCard);
</t>
    </r>
    <r>
      <rPr>
        <b/>
        <i/>
        <sz val="12"/>
        <rFont val="Arial"/>
        <family val="2"/>
        <charset val="204"/>
      </rPr>
      <t xml:space="preserve">- оперативная доставка </t>
    </r>
    <r>
      <rPr>
        <i/>
        <sz val="12"/>
        <rFont val="Arial"/>
        <family val="2"/>
        <charset val="204"/>
      </rPr>
      <t xml:space="preserve">собственным транспортом по Минску (возможно в день заказа);
- ежемесячная </t>
    </r>
    <r>
      <rPr>
        <b/>
        <i/>
        <sz val="12"/>
        <rFont val="Arial"/>
        <family val="2"/>
        <charset val="204"/>
      </rPr>
      <t>доставка по всем регионам РБ</t>
    </r>
  </si>
  <si>
    <t>10 кг</t>
  </si>
  <si>
    <t>Черенок для щеток синий 110 см MPG1479 Италия</t>
  </si>
  <si>
    <t>Штанга телескопическая алюминиевая 2*150</t>
  </si>
  <si>
    <r>
      <t xml:space="preserve">Ланч-бокс из вспен полист-ла,LBE-2, 247*207*45 </t>
    </r>
    <r>
      <rPr>
        <b/>
        <sz val="10"/>
        <rFont val="Arial"/>
        <family val="2"/>
        <charset val="204"/>
      </rPr>
      <t>Уп-100 шт</t>
    </r>
  </si>
  <si>
    <t>20 уп</t>
  </si>
  <si>
    <t>16 уп</t>
  </si>
  <si>
    <t>40 уп</t>
  </si>
  <si>
    <t>15 уп</t>
  </si>
  <si>
    <t>Пятновы-тель и отбел-тель Vanish OXI Action кристал 1л</t>
  </si>
  <si>
    <t>Бумага туал-ая "Хатник" бел, уп-4 шт, 100% целлюл. 2-слой</t>
  </si>
  <si>
    <t>Шпагат полипропил. Круч.  2200 ТЕКС 5 кг (+-10%) окраш.</t>
  </si>
  <si>
    <t>Шпагат джут-ый 1,2 ктекс П2 полиров.2ниточн., 1 кг</t>
  </si>
  <si>
    <r>
      <t xml:space="preserve">Шв-ра отжим."Умничка",2ролика,телескоп.ручка </t>
    </r>
    <r>
      <rPr>
        <sz val="9"/>
        <rFont val="Arial"/>
        <family val="2"/>
        <charset val="204"/>
      </rPr>
      <t>110см.</t>
    </r>
    <r>
      <rPr>
        <sz val="1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F14Z </t>
    </r>
  </si>
  <si>
    <t>Ручка алюм-ая д\швабры Hole-Fit 130 см. FSM7112, Тур.</t>
  </si>
  <si>
    <r>
      <t xml:space="preserve">Бумага туал-я V-сл. Veiro Professional Comfort, 2слой. </t>
    </r>
    <r>
      <rPr>
        <sz val="9"/>
        <rFont val="Arial"/>
        <family val="2"/>
        <charset val="204"/>
      </rPr>
      <t>TV201</t>
    </r>
  </si>
  <si>
    <t>Полотенце бум. 1-слойное 120м ПБ-1 с центр-ой вытяжкой</t>
  </si>
  <si>
    <t>64 уп</t>
  </si>
  <si>
    <t>Трубочки мини черн/цветные 5*125 мм.400шт./уп.</t>
  </si>
  <si>
    <t>10 уп</t>
  </si>
  <si>
    <t xml:space="preserve">20 уп    </t>
  </si>
  <si>
    <t>100 у</t>
  </si>
  <si>
    <t>Тряпка из микрофибры 40*60см 250пл. Фиолетовая</t>
  </si>
  <si>
    <t>120 у</t>
  </si>
  <si>
    <r>
      <t xml:space="preserve">Ложка чайная 12,5 см ПС Б </t>
    </r>
    <r>
      <rPr>
        <b/>
        <sz val="10"/>
        <rFont val="Arial"/>
        <family val="2"/>
        <charset val="204"/>
      </rPr>
      <t>Уп- 100 шт</t>
    </r>
    <r>
      <rPr>
        <sz val="10"/>
        <rFont val="Arial"/>
        <family val="2"/>
        <charset val="204"/>
      </rPr>
      <t xml:space="preserve"> </t>
    </r>
  </si>
  <si>
    <r>
      <rPr>
        <i/>
        <sz val="12"/>
        <rFont val="Arial Cyr"/>
        <charset val="204"/>
      </rPr>
      <t xml:space="preserve">Мы обеспечиваем </t>
    </r>
    <r>
      <rPr>
        <b/>
        <i/>
        <sz val="12"/>
        <rFont val="Arial Cyr"/>
        <charset val="204"/>
      </rPr>
      <t>товарами</t>
    </r>
    <r>
      <rPr>
        <i/>
        <sz val="12"/>
        <rFont val="Arial Cyr"/>
        <charset val="204"/>
      </rPr>
      <t xml:space="preserve"> </t>
    </r>
    <r>
      <rPr>
        <b/>
        <i/>
        <sz val="12"/>
        <rFont val="Arial Cyr"/>
        <charset val="204"/>
      </rPr>
      <t xml:space="preserve">для хозяйственных нужд </t>
    </r>
    <r>
      <rPr>
        <i/>
        <sz val="12"/>
        <rFont val="Arial Cyr"/>
        <charset val="204"/>
      </rPr>
      <t xml:space="preserve">предприятия и организации различного профиля деятельности: </t>
    </r>
    <r>
      <rPr>
        <sz val="12"/>
        <rFont val="Arial Cyr"/>
        <charset val="204"/>
      </rPr>
      <t xml:space="preserve">
</t>
    </r>
    <r>
      <rPr>
        <b/>
        <i/>
        <sz val="12"/>
        <rFont val="Arial Cyr"/>
        <charset val="204"/>
      </rPr>
      <t>- предприятия общепита</t>
    </r>
    <r>
      <rPr>
        <i/>
        <sz val="12"/>
        <rFont val="Arial Cyr"/>
        <charset val="204"/>
      </rPr>
      <t xml:space="preserve"> (рестораны, бары, кафе);
</t>
    </r>
    <r>
      <rPr>
        <b/>
        <i/>
        <sz val="12"/>
        <rFont val="Arial Cyr"/>
        <charset val="204"/>
      </rPr>
      <t>- торговые объекты</t>
    </r>
    <r>
      <rPr>
        <i/>
        <sz val="12"/>
        <rFont val="Arial Cyr"/>
        <charset val="204"/>
      </rPr>
      <t xml:space="preserve"> (как крупные торговые сети, так и сравнительно небольшие магазины);
</t>
    </r>
    <r>
      <rPr>
        <b/>
        <i/>
        <sz val="12"/>
        <rFont val="Arial Cyr"/>
        <charset val="204"/>
      </rPr>
      <t>- оптовые фирмы;</t>
    </r>
    <r>
      <rPr>
        <i/>
        <sz val="12"/>
        <rFont val="Arial Cyr"/>
        <charset val="204"/>
      </rPr>
      <t xml:space="preserve">
</t>
    </r>
    <r>
      <rPr>
        <b/>
        <i/>
        <sz val="12"/>
        <rFont val="Arial Cyr"/>
        <charset val="204"/>
      </rPr>
      <t>- производственные и сельскохозяйственные предприятия;</t>
    </r>
    <r>
      <rPr>
        <i/>
        <sz val="12"/>
        <rFont val="Arial Cyr"/>
        <charset val="204"/>
      </rPr>
      <t xml:space="preserve">
</t>
    </r>
    <r>
      <rPr>
        <b/>
        <i/>
        <sz val="12"/>
        <rFont val="Arial Cyr"/>
        <charset val="204"/>
      </rPr>
      <t>- административные центры, офисы и другие.</t>
    </r>
  </si>
  <si>
    <t>Канцелярские товары</t>
  </si>
  <si>
    <t>Папка на завязках с корешком 30 мм., ф-т А4, карт. Серый</t>
  </si>
  <si>
    <t xml:space="preserve">Папка-скоросшиватель, эконом, А4, KS-320BR/10/SPEC; </t>
  </si>
  <si>
    <t>Папка-файл А4 40 мкм (100 шт.), Proff</t>
  </si>
  <si>
    <t>Карандаш чернографит. FAVORIT НВ грифель 2мм, ластик</t>
  </si>
  <si>
    <t>Ластик белый прямоугольный, 3*1,5 см NEW, арт. S997</t>
  </si>
  <si>
    <t>Клей - карандаш, 23 гр, арт. SGS23; РФ</t>
  </si>
  <si>
    <t>Бирка нагрудная БЕЙДЖ, 55х90 мм, арт. SNB01</t>
  </si>
  <si>
    <t>Алюминиевая лента 50мм*10м 50мкм Klebebander</t>
  </si>
  <si>
    <t>Металлизированная лента 50мм*10м Klebebander</t>
  </si>
  <si>
    <t xml:space="preserve">Бахилы п/эт рулон особопрочные в упак-е по 100 шт 35 мкр </t>
  </si>
  <si>
    <t>Стрейч пищевой ПВХ 350мм 700 м, 8 мкм, R 358-350/1</t>
  </si>
  <si>
    <t>Мешки д/мусора ПВД 70*110 (120л.), 30 мкм. ПЛ120030</t>
  </si>
  <si>
    <t>Салфетка из МИКРОФ-РЫ д\стекла 35*35 фиол. М200G1</t>
  </si>
  <si>
    <t>Мочалка из нержав. стали 12 г 1 шт СМБ121/1</t>
  </si>
  <si>
    <t>Мочалка из нержав. стали 12 г в проз.уп. 2 шт/уп СМП122</t>
  </si>
  <si>
    <t>Салфетки влажные INDEX Компакт, для мониторов, 100шт</t>
  </si>
  <si>
    <t>Зажим для бумаг 32 мм.,черный ,Sponsor</t>
  </si>
  <si>
    <t>Клей силикатный INDEX, 110 гр, с дозатором, арт. ISG110</t>
  </si>
  <si>
    <t xml:space="preserve">Стремянка алюминиевая 7 ступеней  Tarko 04107 </t>
  </si>
  <si>
    <t>Стремянка алюминиевая 3 ступеней  Tarko 04103</t>
  </si>
  <si>
    <t>Грабли витые садовые на 12 зубьев б/черенка, шир. - 33 см</t>
  </si>
  <si>
    <t>12 уп</t>
  </si>
  <si>
    <t>Ведро для мусора с педалью 18 л</t>
  </si>
  <si>
    <t>Стержень 135 мм. 0,7 мм.,синий</t>
  </si>
  <si>
    <t xml:space="preserve">Бак для мусора 90 литров МП </t>
  </si>
  <si>
    <t>Ведро для мусора 25 л. MPG021193</t>
  </si>
  <si>
    <t>Губка д/ посуды  10 шт Умничка MAXI  MPU3282</t>
  </si>
  <si>
    <t>26 уп</t>
  </si>
  <si>
    <t>Салфетка из микрофибры, д\авто 30*40, арт SY-B-001</t>
  </si>
  <si>
    <t>Черенок д/щеток Эконом дерево Высш.сорт 1,2м MPG4463</t>
  </si>
  <si>
    <t>Щетка для посуды "Оля"  MPG020202</t>
  </si>
  <si>
    <t>Щетка полотерная "НАПОЛИ"  MPG1624</t>
  </si>
  <si>
    <t>Совок + щетка-сметка. MPG020264/96144</t>
  </si>
  <si>
    <t>Щетка Умничка "УТЮГ" малая  MPU5385</t>
  </si>
  <si>
    <t>Щетка для посуды "Умничка"  MPU 5385</t>
  </si>
  <si>
    <t>Перчатки п/эт с отрывом р-р L</t>
  </si>
  <si>
    <t>МОП микрофиб., жёст.образив 40*13см, карман ГИ20/13-09</t>
  </si>
  <si>
    <t>МОП Акрил (сухая уборка) 40*13см, карман ГИ026/1-05</t>
  </si>
  <si>
    <t>Полотно холстопрошивное неотбеленное 160 см, 190 г/м</t>
  </si>
  <si>
    <t>Бумага Xerox Performer A4, 80 г/м2, 500 л, РФ</t>
  </si>
  <si>
    <t>1 кор</t>
  </si>
  <si>
    <r>
      <t xml:space="preserve">Стакан бумажный бел.250 мл, 250/D80xD56xH92 </t>
    </r>
    <r>
      <rPr>
        <b/>
        <sz val="10"/>
        <rFont val="Arial"/>
        <family val="2"/>
        <charset val="204"/>
      </rPr>
      <t>Уп-100 шт.</t>
    </r>
  </si>
  <si>
    <t>Пика для канапе Бриллиант 300 шт</t>
  </si>
  <si>
    <t>Пика бамбуковая Кристалл квадратный 100 шт.</t>
  </si>
  <si>
    <r>
      <t xml:space="preserve">Стакан 200 мл. прозрачный  ПП эконом. </t>
    </r>
    <r>
      <rPr>
        <b/>
        <sz val="10"/>
        <rFont val="Arial"/>
        <family val="2"/>
        <charset val="204"/>
      </rPr>
      <t>Уп.-100 шт.</t>
    </r>
  </si>
  <si>
    <t>24 уп</t>
  </si>
  <si>
    <t>Скоросшиватель "Дело"Стандарт с кор.30 мм.</t>
  </si>
  <si>
    <t>Ведро 9 л. без отжима MPG021162</t>
  </si>
  <si>
    <t>Вешалка тонкая р 48-50 (черная) SK348</t>
  </si>
  <si>
    <t>Калькулятор CITIZEN Correct D 312</t>
  </si>
  <si>
    <t xml:space="preserve">Ведро 5 л. пищевое Комфорт зел, кр, син. MPG5897 </t>
  </si>
  <si>
    <t>Ведро 8 л. Классика с носиком МИКС MPG 4906</t>
  </si>
  <si>
    <t>Ведро 7 л. пищевое  ЧУДО мерное со сливом  MPG 5569</t>
  </si>
  <si>
    <t>Ведро 7 л. Классика Кр., жел., мраморн.  SK291</t>
  </si>
  <si>
    <t xml:space="preserve">Ведро оцинкованное 12 л. </t>
  </si>
  <si>
    <t>Ведро 14 л. с отжимом Мульти SK115</t>
  </si>
  <si>
    <t>Ведро 14 л  без отжима  Мульти SK127</t>
  </si>
  <si>
    <t xml:space="preserve">Ведро 10 л. пищевое мерное со сливом ЧУДО, MPG5552 </t>
  </si>
  <si>
    <t>Ведро 10 л. Эконом, MPG 4913</t>
  </si>
  <si>
    <t>Ведро 10 л. без крышки черное SK190</t>
  </si>
  <si>
    <t xml:space="preserve">Мешки д/мусора Хатнiк 60 л, 20 шт. </t>
  </si>
  <si>
    <r>
      <t xml:space="preserve">Мешки д/мус-а ПНД 120 л,10шт.12 мк MirpackClassik </t>
    </r>
    <r>
      <rPr>
        <sz val="8"/>
        <rFont val="Arial"/>
        <family val="2"/>
        <charset val="204"/>
      </rPr>
      <t>1201011</t>
    </r>
  </si>
  <si>
    <t>Мешок д/мусора ПВД 30л, 20шт, 23мкм. M.Premium 3020100</t>
  </si>
  <si>
    <r>
      <t xml:space="preserve">Окном-а Умничка 20 см c телескоп.ручкой 120см, </t>
    </r>
    <r>
      <rPr>
        <sz val="9"/>
        <rFont val="Arial"/>
        <family val="2"/>
        <charset val="204"/>
      </rPr>
      <t>WR016-17</t>
    </r>
  </si>
  <si>
    <t>Окномойка Умничка 20 см, с ручкой 50см, черная WR020</t>
  </si>
  <si>
    <r>
      <t xml:space="preserve">Окном-а Умничка 20 см c телескоп.ручк 95см, </t>
    </r>
    <r>
      <rPr>
        <sz val="9"/>
        <rFont val="Arial"/>
        <family val="2"/>
        <charset val="204"/>
      </rPr>
      <t>КWL10504-16</t>
    </r>
  </si>
  <si>
    <r>
      <t xml:space="preserve">Окном-а Умничка 25см c телескоп.ручкой 120 см, </t>
    </r>
    <r>
      <rPr>
        <sz val="9"/>
        <rFont val="Arial"/>
        <family val="2"/>
        <charset val="204"/>
      </rPr>
      <t>WR014-15</t>
    </r>
  </si>
  <si>
    <t>Швабра отжим. Умничка Эконом 120 см с 1 роликом и телескоп. Ручкой.  KWL10207</t>
  </si>
  <si>
    <r>
      <t xml:space="preserve">Шв-ра Флеттер Умничка микроф, тел.ручка 125 см. </t>
    </r>
    <r>
      <rPr>
        <sz val="9"/>
        <rFont val="Arial"/>
        <family val="2"/>
        <charset val="204"/>
      </rPr>
      <t>KFP024</t>
    </r>
  </si>
  <si>
    <t>Швабра отжимная Умничка 1 ролик, 110 см. KF-J006A</t>
  </si>
  <si>
    <t>Грабли веерные раздвижные Умничка с металл. черенком 25-155 см. 15 зубьев FK-01</t>
  </si>
  <si>
    <r>
      <t xml:space="preserve">Перчатки виниловые  Benovy 200 шт, L,М,S </t>
    </r>
    <r>
      <rPr>
        <sz val="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MVG004T40</t>
    </r>
  </si>
  <si>
    <t>Перчатки латексные опудренные  р-M,L Benovy 100 шт.</t>
  </si>
  <si>
    <r>
      <t xml:space="preserve">Пер-ки нитриловые текстур-ые чёрн. Benovy 100 шт. </t>
    </r>
    <r>
      <rPr>
        <sz val="9"/>
        <rFont val="Arial"/>
        <family val="2"/>
        <charset val="204"/>
      </rPr>
      <t xml:space="preserve">S,L,XL </t>
    </r>
    <r>
      <rPr>
        <sz val="10"/>
        <rFont val="Arial"/>
        <family val="2"/>
        <charset val="204"/>
      </rPr>
      <t>MNFT003W35BL</t>
    </r>
  </si>
  <si>
    <r>
      <t>Полотенца бум.V-сл. целлюлоза, 2 сл, Хатнiк,</t>
    </r>
    <r>
      <rPr>
        <sz val="9"/>
        <rFont val="Arial"/>
        <family val="2"/>
        <charset val="204"/>
      </rPr>
      <t xml:space="preserve"> 200 л</t>
    </r>
  </si>
  <si>
    <t>Бумага подпергамент марка М 10 кг, 84 х 62 см</t>
  </si>
  <si>
    <t>Пика "Узелок" бамбук 90 мм, 100 шт/уп</t>
  </si>
  <si>
    <t>Полироль д/мебели Pronto Classic 5 в 1, Алое Вера 500 мл</t>
  </si>
  <si>
    <t>Средство д\мытья стекол AnyDay Gloss Голуб. лотос  5 л.</t>
  </si>
  <si>
    <t xml:space="preserve">Ср-во д/чистки изделий из кожи Unicum спрей,500 мл. </t>
  </si>
  <si>
    <t>Мыло хозяйственное 72%, 200 гр.</t>
  </si>
  <si>
    <r>
      <rPr>
        <b/>
        <sz val="10"/>
        <rFont val="Arial"/>
        <family val="2"/>
        <charset val="204"/>
      </rPr>
      <t>Средство для мытья посуды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Пемолюкс</t>
    </r>
    <r>
      <rPr>
        <sz val="10"/>
        <rFont val="Arial"/>
        <family val="2"/>
        <charset val="204"/>
      </rPr>
      <t xml:space="preserve"> алоэ, 450 мл </t>
    </r>
  </si>
  <si>
    <r>
      <rPr>
        <b/>
        <sz val="10"/>
        <rFont val="Arial"/>
        <family val="2"/>
        <charset val="204"/>
      </rPr>
      <t>Мыло хозяйственное</t>
    </r>
    <r>
      <rPr>
        <sz val="10"/>
        <rFont val="Arial"/>
        <family val="2"/>
        <charset val="204"/>
      </rPr>
      <t xml:space="preserve"> 65%, 200 гр.</t>
    </r>
  </si>
  <si>
    <r>
      <rPr>
        <b/>
        <sz val="10"/>
        <rFont val="Arial"/>
        <family val="2"/>
        <charset val="204"/>
      </rPr>
      <t>Ср-во очищающее универсал. для пола Санатекс</t>
    </r>
    <r>
      <rPr>
        <sz val="10"/>
        <rFont val="Arial"/>
        <family val="2"/>
        <charset val="204"/>
      </rPr>
      <t xml:space="preserve">, 1 л. </t>
    </r>
  </si>
  <si>
    <t>Средство для чистки и дезинфекции Санлит-гель, 750 мл</t>
  </si>
  <si>
    <t>Гель для чистки унитазов UNICUM Gold лимон 750 мл</t>
  </si>
  <si>
    <t>Средство чистящее Санокс-Гель 0.75л.</t>
  </si>
  <si>
    <t>Средство туалетное AnyDay Gloss 750мл.</t>
  </si>
  <si>
    <t>Блок гигиенический для унитаза Domestos Атлантик, 40 гр</t>
  </si>
  <si>
    <t>Сменный флакон к автомат. освежителю AIR Wick, 250 мл</t>
  </si>
  <si>
    <t xml:space="preserve">Освежитель воздуха Symphony сухое распыление, 300 мл </t>
  </si>
  <si>
    <t>Освежитель воздуха Gold Wind в ассортименте, 300 мл.</t>
  </si>
  <si>
    <t xml:space="preserve">Крем-мыло интенсивное увлажнение Бархатные ручки 75 г  </t>
  </si>
  <si>
    <t>Жидкое мыло AJM эконом, 5 л.</t>
  </si>
  <si>
    <t>Жидкое мыло AJM с глицерином 5 л.</t>
  </si>
  <si>
    <t>Крем-мыло Роса в ассортименте, 5 л.</t>
  </si>
  <si>
    <r>
      <rPr>
        <b/>
        <sz val="10"/>
        <rFont val="Arial"/>
        <family val="2"/>
        <charset val="204"/>
      </rPr>
      <t>Мыло туалетное</t>
    </r>
    <r>
      <rPr>
        <sz val="10"/>
        <rFont val="Arial"/>
        <family val="2"/>
        <charset val="204"/>
      </rPr>
      <t xml:space="preserve"> в обертке Земляника, 90  гр. </t>
    </r>
  </si>
  <si>
    <t>Мыло хозяйственное 72% в обертке Флоу-пак</t>
  </si>
  <si>
    <t>Гель для мытья посуды AnyDay Gloss 500 мл</t>
  </si>
  <si>
    <t>Гель для мытья посуды AnyDay Gloss 5 л.</t>
  </si>
  <si>
    <t xml:space="preserve">Средство для мытья посуды Fairy  Нежные руки 900 мл. </t>
  </si>
  <si>
    <t>Средство для мытья посуды AJM с глицерином, 500 мл</t>
  </si>
  <si>
    <t>Средство для мытья посуды AJM эконом, 5 л.</t>
  </si>
  <si>
    <t>Средство для мытья посуды Благо, 5 л.</t>
  </si>
  <si>
    <t xml:space="preserve">Средство для мытья посуды концентрат Минутка, 5 л. </t>
  </si>
  <si>
    <t xml:space="preserve">Средство для мытья посуды Авкол с глицерином, 5 л  </t>
  </si>
  <si>
    <t xml:space="preserve">Жироудалитель Unicum Gold спрей, 750 мл </t>
  </si>
  <si>
    <r>
      <t>Ср-во универс.моющее хоз.</t>
    </r>
    <r>
      <rPr>
        <sz val="9"/>
        <rFont val="Arial"/>
        <family val="2"/>
        <charset val="204"/>
      </rPr>
      <t xml:space="preserve">(тканей, полов, сантех.) </t>
    </r>
    <r>
      <rPr>
        <sz val="10"/>
        <rFont val="Arial"/>
        <family val="2"/>
        <charset val="204"/>
      </rPr>
      <t>Чистоff 1л.</t>
    </r>
  </si>
  <si>
    <t xml:space="preserve">Средство очищающее универсал. для пола Санатекс, 5 л. </t>
  </si>
  <si>
    <t xml:space="preserve">Средство универсал. моющее для пола Крафт-плюс, 5 л. </t>
  </si>
  <si>
    <t>Средство чистящее универсальное  Эльф концентрат, 5 л.</t>
  </si>
  <si>
    <t>Средство универс.д/полов, стен, поверхностей Аист,950мл</t>
  </si>
  <si>
    <t>Средство для уборки помещения концентрир.Квард-М, 1 л</t>
  </si>
  <si>
    <t>Средство для уборки помещения концентрир.Квард-М, 5 л</t>
  </si>
  <si>
    <t>Средство для чистки ковров, обивки салона Ферролин, 5л</t>
  </si>
  <si>
    <r>
      <rPr>
        <b/>
        <sz val="10"/>
        <rFont val="Arial"/>
        <family val="2"/>
        <charset val="204"/>
      </rPr>
      <t>Средство очищающее</t>
    </r>
    <r>
      <rPr>
        <sz val="10"/>
        <rFont val="Arial"/>
        <family val="2"/>
        <charset val="204"/>
      </rPr>
      <t xml:space="preserve"> антивандальное Наватекс, 5л.</t>
    </r>
  </si>
  <si>
    <t xml:space="preserve">Ср-во очищаеющее от жира, накала,нагара Мегалюкс, 5 л. </t>
  </si>
  <si>
    <t xml:space="preserve">Ср-во д/обезжир.,обработки поверхностей Фрилан, 5 л </t>
  </si>
  <si>
    <t>Спрей универс. д/чистки всех видов плит Бархат, 465 м</t>
  </si>
  <si>
    <t>Порошок чистящий Пемолюкс  480г РФ</t>
  </si>
  <si>
    <t xml:space="preserve">Ср-во чистящее Суржа-Экспресс 500 гр </t>
  </si>
  <si>
    <t xml:space="preserve">Ср-во д/раствор-я жир. загряз. Any Day Gloss 500 мл. </t>
  </si>
  <si>
    <t>Жироудалитель для грилей, каминов, плит UNICUM 500 ml</t>
  </si>
  <si>
    <t>Ср-во моющ. д\кухни  CRINIS Milch Spray Fur Kuche 550 мл.</t>
  </si>
  <si>
    <r>
      <t xml:space="preserve">Порошок чист-ий с дез.свой-ми Comet с хлоринолом </t>
    </r>
    <r>
      <rPr>
        <sz val="9"/>
        <rFont val="Arial"/>
        <family val="2"/>
        <charset val="204"/>
      </rPr>
      <t>475 г</t>
    </r>
  </si>
  <si>
    <t>Крем чистящий CIF Лимон, 500 мл</t>
  </si>
  <si>
    <r>
      <t xml:space="preserve">Гель для чистки кухонных плит </t>
    </r>
    <r>
      <rPr>
        <sz val="10"/>
        <rFont val="Arial"/>
        <family val="2"/>
        <charset val="204"/>
      </rPr>
      <t>Чистоff</t>
    </r>
    <r>
      <rPr>
        <b/>
        <sz val="10"/>
        <rFont val="Arial"/>
        <family val="2"/>
        <charset val="204"/>
      </rPr>
      <t xml:space="preserve">, </t>
    </r>
    <r>
      <rPr>
        <sz val="10"/>
        <rFont val="Arial"/>
        <family val="2"/>
        <charset val="204"/>
      </rPr>
      <t>500 мл</t>
    </r>
  </si>
  <si>
    <t>Сода С  БОР, 500 гр</t>
  </si>
  <si>
    <t>Стиральный порошок Айсберг Colour 500 гр</t>
  </si>
  <si>
    <t>Стиральный порошок Новый ЛОТОС Лимон 500 гр.</t>
  </si>
  <si>
    <t>Ср-во д/мытья твердых поверх-тей AJM Белизна-гель 1л.</t>
  </si>
  <si>
    <t>Ср-во универс.отбеливающее концентрат AnyDay Gloss 1л</t>
  </si>
  <si>
    <t>Средство жидкое отбеливающее БОС 1200 мл</t>
  </si>
  <si>
    <r>
      <t xml:space="preserve">Средство универсальное Белизна, </t>
    </r>
    <r>
      <rPr>
        <sz val="10"/>
        <rFont val="Arial"/>
        <family val="2"/>
        <charset val="204"/>
      </rPr>
      <t>1 л</t>
    </r>
  </si>
  <si>
    <t>Средство для прочистки труб СуперКрот, 1 л.</t>
  </si>
  <si>
    <t xml:space="preserve">Средство для прочистки труб AJM 1 л. </t>
  </si>
  <si>
    <t>Средство для профес-ой прочистки стоков Термит 5 л</t>
  </si>
  <si>
    <r>
      <rPr>
        <b/>
        <sz val="10"/>
        <rFont val="Arial"/>
        <family val="2"/>
        <charset val="204"/>
      </rPr>
      <t>Средство для прочистки труб</t>
    </r>
    <r>
      <rPr>
        <sz val="10"/>
        <rFont val="Arial"/>
        <family val="2"/>
        <charset val="204"/>
      </rPr>
      <t xml:space="preserve"> AnyDay Gloss 1 л.</t>
    </r>
  </si>
  <si>
    <t>Полироль д/меб. Pronto Classic 5 в 1 д/дер. поверхн. 250м</t>
  </si>
  <si>
    <r>
      <t xml:space="preserve">Полироль д/мебели Prontо антипыль и антиаллерген </t>
    </r>
    <r>
      <rPr>
        <sz val="9"/>
        <rFont val="Arial"/>
        <family val="2"/>
        <charset val="204"/>
      </rPr>
      <t>250</t>
    </r>
    <r>
      <rPr>
        <sz val="10"/>
        <rFont val="Arial"/>
        <family val="2"/>
        <charset val="204"/>
      </rPr>
      <t xml:space="preserve"> м</t>
    </r>
  </si>
  <si>
    <t>Средство для удаления накипи Сигма, 500 мл</t>
  </si>
  <si>
    <r>
      <rPr>
        <b/>
        <sz val="10"/>
        <rFont val="Arial"/>
        <family val="2"/>
        <charset val="204"/>
      </rPr>
      <t>Средство для удаления накипи</t>
    </r>
    <r>
      <rPr>
        <sz val="10"/>
        <rFont val="Arial"/>
        <family val="2"/>
        <charset val="204"/>
      </rPr>
      <t xml:space="preserve"> Чистоff Антинакипин 1 л</t>
    </r>
  </si>
  <si>
    <t>Сред-во чистящее д\стекол блестящих пов-тей CIF 500мл.</t>
  </si>
  <si>
    <t xml:space="preserve">Средство для мытья окон Клин 500 мл </t>
  </si>
  <si>
    <t>Средство д\мытья стекол AnyDay Gloss Голуб. лотос 0,5 л</t>
  </si>
  <si>
    <t>Средство для мытья стекол AJM Glass, 5 л</t>
  </si>
  <si>
    <t>Средство для мытья стекол Чистоff  лимон, 500 мл</t>
  </si>
  <si>
    <t xml:space="preserve">Средство очищающее (автошампунь) Эколин 5 л. </t>
  </si>
  <si>
    <t>Ср-во для удаления цемента и извести UNICUM Gold 1 л.</t>
  </si>
  <si>
    <r>
      <rPr>
        <b/>
        <sz val="10"/>
        <rFont val="Arial"/>
        <family val="2"/>
        <charset val="204"/>
      </rPr>
      <t>Ср-во д/чистки акрил.ванн и душевых кабин</t>
    </r>
    <r>
      <rPr>
        <sz val="10"/>
        <rFont val="Arial"/>
        <family val="2"/>
        <charset val="204"/>
      </rPr>
      <t xml:space="preserve"> Unicum 750 мл </t>
    </r>
  </si>
  <si>
    <t>Гель для чистки керамики Чистоff, 500 мл.</t>
  </si>
  <si>
    <t>Средство чистящее для ванной CIF, 500 мл.</t>
  </si>
  <si>
    <r>
      <t>Спрей д/чистки сантехники с тригером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AnyDayGloss,</t>
    </r>
    <r>
      <rPr>
        <sz val="9"/>
        <rFont val="Arial"/>
        <family val="2"/>
        <charset val="204"/>
      </rPr>
      <t xml:space="preserve"> 500 мл</t>
    </r>
  </si>
  <si>
    <t>Средство дезинфицирующее РОСА СПРЕЙ 0,75л.</t>
  </si>
  <si>
    <r>
      <rPr>
        <b/>
        <sz val="10"/>
        <rFont val="Arial"/>
        <family val="2"/>
        <charset val="204"/>
      </rPr>
      <t>Полотенца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бумажные</t>
    </r>
    <r>
      <rPr>
        <sz val="10"/>
        <rFont val="Arial"/>
        <family val="2"/>
        <charset val="204"/>
      </rPr>
      <t xml:space="preserve"> Desna Standart 200 листов V-укл.</t>
    </r>
  </si>
  <si>
    <r>
      <rPr>
        <b/>
        <sz val="10"/>
        <rFont val="Arial"/>
        <family val="2"/>
        <charset val="204"/>
      </rPr>
      <t>Бумага туалетная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для диспенсеров</t>
    </r>
    <r>
      <rPr>
        <sz val="10"/>
        <rFont val="Arial"/>
        <family val="2"/>
        <charset val="204"/>
      </rPr>
      <t xml:space="preserve"> "Мякишко-200" РБ </t>
    </r>
  </si>
  <si>
    <r>
      <rPr>
        <b/>
        <sz val="10"/>
        <rFont val="Arial"/>
        <family val="2"/>
        <charset val="204"/>
      </rPr>
      <t>Салфетки бумажные</t>
    </r>
    <r>
      <rPr>
        <sz val="10"/>
        <rFont val="Arial"/>
        <family val="2"/>
        <charset val="204"/>
      </rPr>
      <t xml:space="preserve"> белые  "Мякишко Эконом" 100 шт.</t>
    </r>
  </si>
  <si>
    <r>
      <rPr>
        <b/>
        <sz val="10"/>
        <rFont val="Arial"/>
        <family val="2"/>
        <charset val="204"/>
      </rPr>
      <t>Перчатки х/б</t>
    </r>
    <r>
      <rPr>
        <sz val="10"/>
        <rFont val="Arial"/>
        <family val="2"/>
        <charset val="204"/>
      </rPr>
      <t xml:space="preserve"> 10 класс, 4 нитки, РФ</t>
    </r>
  </si>
  <si>
    <r>
      <rPr>
        <b/>
        <sz val="10"/>
        <rFont val="Arial"/>
        <family val="2"/>
        <charset val="204"/>
      </rPr>
      <t>Перчатки хозяйств-ые</t>
    </r>
    <r>
      <rPr>
        <sz val="10"/>
        <rFont val="Arial"/>
        <family val="2"/>
        <charset val="204"/>
      </rPr>
      <t xml:space="preserve"> с напылением Эконом  </t>
    </r>
    <r>
      <rPr>
        <sz val="9"/>
        <rFont val="Arial"/>
        <family val="2"/>
        <charset val="204"/>
      </rPr>
      <t>Б101ЕМ,L,S</t>
    </r>
  </si>
  <si>
    <t xml:space="preserve">Средство туалетное Утенок ЧистоFF, 750 мл. </t>
  </si>
  <si>
    <t>Стеклоомыватель марки Вьюга 5л.</t>
  </si>
  <si>
    <t>Средство очищающее для мытья стекол  Лайт 5 л.</t>
  </si>
  <si>
    <r>
      <rPr>
        <b/>
        <sz val="10"/>
        <rFont val="Arial"/>
        <family val="2"/>
        <charset val="204"/>
      </rPr>
      <t xml:space="preserve">Ткань упаковачная </t>
    </r>
    <r>
      <rPr>
        <sz val="10"/>
        <rFont val="Arial"/>
        <family val="2"/>
        <charset val="204"/>
      </rPr>
      <t>арт.01С3-ШР, шир.110, 1С,
оршанский льнокомбинат (мешковина)</t>
    </r>
  </si>
  <si>
    <r>
      <rPr>
        <b/>
        <sz val="10"/>
        <rFont val="Arial"/>
        <family val="2"/>
        <charset val="204"/>
      </rPr>
      <t>Тряпка д/пола</t>
    </r>
    <r>
      <rPr>
        <sz val="10"/>
        <rFont val="Arial"/>
        <family val="2"/>
        <charset val="204"/>
      </rPr>
      <t xml:space="preserve"> "Умничка" х/б бел 50*60 см MPU1196</t>
    </r>
  </si>
  <si>
    <r>
      <rPr>
        <b/>
        <sz val="10"/>
        <rFont val="Arial"/>
        <family val="2"/>
        <charset val="204"/>
      </rPr>
      <t>Салфетка вискоза</t>
    </r>
    <r>
      <rPr>
        <sz val="10"/>
        <rFont val="Arial"/>
        <family val="2"/>
        <charset val="204"/>
      </rPr>
      <t xml:space="preserve"> Lemon Moon 3шт/уп. 30*38  80г/м2 L400</t>
    </r>
    <r>
      <rPr>
        <b/>
        <sz val="9"/>
        <rFont val="Arial"/>
        <family val="2"/>
        <charset val="204"/>
      </rPr>
      <t xml:space="preserve"> </t>
    </r>
  </si>
  <si>
    <t>Мочалка медная Умничка  10 шт. HL-03B</t>
  </si>
  <si>
    <t>Мочалка  пластиковая Умничка 2 шт CGN12-301</t>
  </si>
  <si>
    <r>
      <rPr>
        <b/>
        <sz val="10"/>
        <rFont val="Arial"/>
        <family val="2"/>
        <charset val="204"/>
      </rPr>
      <t>Мочалка металлическая</t>
    </r>
    <r>
      <rPr>
        <sz val="10"/>
        <rFont val="Arial"/>
        <family val="2"/>
        <charset val="204"/>
      </rPr>
      <t xml:space="preserve">  Умничка 2 шт. HL-02А</t>
    </r>
  </si>
  <si>
    <r>
      <rPr>
        <b/>
        <sz val="10"/>
        <rFont val="Arial"/>
        <family val="2"/>
        <charset val="204"/>
      </rPr>
      <t>Губка д/посуды</t>
    </r>
    <r>
      <rPr>
        <sz val="10"/>
        <rFont val="Arial"/>
        <family val="2"/>
        <charset val="204"/>
      </rPr>
      <t xml:space="preserve"> профильная, с абразивом 15*9*4.5 см Г-32</t>
    </r>
  </si>
  <si>
    <t xml:space="preserve">Средство для мытья посуды AJM концентрат, 1 л </t>
  </si>
  <si>
    <r>
      <rPr>
        <b/>
        <sz val="10"/>
        <rFont val="Arial"/>
        <family val="2"/>
        <charset val="204"/>
      </rPr>
      <t>Перчатки</t>
    </r>
    <r>
      <rPr>
        <sz val="10"/>
        <rFont val="Arial"/>
        <family val="2"/>
        <charset val="204"/>
      </rPr>
      <t xml:space="preserve"> п/эт  100 шт</t>
    </r>
  </si>
  <si>
    <r>
      <rPr>
        <b/>
        <sz val="10"/>
        <rFont val="Arial"/>
        <family val="2"/>
        <charset val="204"/>
      </rPr>
      <t>Халат однор-ый</t>
    </r>
    <r>
      <rPr>
        <sz val="10"/>
        <rFont val="Arial"/>
        <family val="2"/>
        <charset val="204"/>
      </rPr>
      <t xml:space="preserve"> полипропиленовый на липучке XYBL012VF</t>
    </r>
  </si>
  <si>
    <r>
      <rPr>
        <b/>
        <sz val="10"/>
        <rFont val="Arial"/>
        <family val="2"/>
        <charset val="204"/>
      </rPr>
      <t>Дождевик</t>
    </r>
    <r>
      <rPr>
        <sz val="10"/>
        <rFont val="Arial"/>
        <family val="2"/>
        <charset val="204"/>
      </rPr>
      <t xml:space="preserve"> ПНД 70*118 зел. с застежками,100 шт-уп, </t>
    </r>
    <r>
      <rPr>
        <sz val="8"/>
        <rFont val="Arial"/>
        <family val="2"/>
        <charset val="204"/>
      </rPr>
      <t>DPH003E</t>
    </r>
  </si>
  <si>
    <r>
      <rPr>
        <b/>
        <sz val="10"/>
        <rFont val="Arial"/>
        <family val="2"/>
        <charset val="204"/>
      </rPr>
      <t>Фольга</t>
    </r>
    <r>
      <rPr>
        <sz val="10"/>
        <rFont val="Arial"/>
        <family val="2"/>
        <charset val="204"/>
      </rPr>
      <t xml:space="preserve"> алюминиевая "Умничка" 10м.  MPU0038</t>
    </r>
  </si>
  <si>
    <r>
      <rPr>
        <b/>
        <sz val="10"/>
        <rFont val="Arial"/>
        <family val="2"/>
        <charset val="204"/>
      </rPr>
      <t>Бумага для выпекания</t>
    </r>
    <r>
      <rPr>
        <sz val="10"/>
        <rFont val="Arial"/>
        <family val="2"/>
        <charset val="204"/>
      </rPr>
      <t xml:space="preserve"> Extra 300х8 бурая в карт. коробке </t>
    </r>
  </si>
  <si>
    <r>
      <rPr>
        <b/>
        <sz val="10"/>
        <rFont val="Arial"/>
        <family val="2"/>
        <charset val="204"/>
      </rPr>
      <t>Палочки для шашлыка</t>
    </r>
    <r>
      <rPr>
        <sz val="10"/>
        <rFont val="Arial"/>
        <family val="2"/>
        <charset val="204"/>
      </rPr>
      <t xml:space="preserve"> 20 см деревянные 100 шт. </t>
    </r>
  </si>
  <si>
    <r>
      <rPr>
        <b/>
        <sz val="10"/>
        <rFont val="Arial"/>
        <family val="2"/>
        <charset val="204"/>
      </rPr>
      <t>Пакет для льда</t>
    </r>
    <r>
      <rPr>
        <sz val="10"/>
        <rFont val="Arial"/>
        <family val="2"/>
        <charset val="204"/>
      </rPr>
      <t xml:space="preserve"> Komfi 224 шарика в упаковке</t>
    </r>
  </si>
  <si>
    <r>
      <rPr>
        <b/>
        <sz val="10"/>
        <color rgb="FF222222"/>
        <rFont val="Arial"/>
        <family val="2"/>
        <charset val="204"/>
      </rPr>
      <t>Гигрометр</t>
    </r>
    <r>
      <rPr>
        <sz val="10"/>
        <color rgb="FF222222"/>
        <rFont val="Arial"/>
        <family val="2"/>
        <charset val="204"/>
      </rPr>
      <t xml:space="preserve"> ВИТ-1</t>
    </r>
  </si>
  <si>
    <r>
      <rPr>
        <b/>
        <sz val="10"/>
        <color rgb="FF222222"/>
        <rFont val="Arial"/>
        <family val="2"/>
        <charset val="204"/>
      </rPr>
      <t>Термометр</t>
    </r>
    <r>
      <rPr>
        <sz val="10"/>
        <color rgb="FF222222"/>
        <rFont val="Arial"/>
        <family val="2"/>
        <charset val="204"/>
      </rPr>
      <t xml:space="preserve"> электронный кухонный (185105) -10до+200С</t>
    </r>
  </si>
  <si>
    <r>
      <rPr>
        <b/>
        <sz val="10"/>
        <color rgb="FF222222"/>
        <rFont val="Arial"/>
        <family val="2"/>
        <charset val="204"/>
      </rPr>
      <t>Ёрш</t>
    </r>
    <r>
      <rPr>
        <sz val="10"/>
        <color rgb="FF222222"/>
        <rFont val="Arial"/>
        <family val="2"/>
        <charset val="204"/>
      </rPr>
      <t xml:space="preserve"> пробирочный с ручкой (D35 L40). MPG 4395</t>
    </r>
  </si>
  <si>
    <r>
      <rPr>
        <b/>
        <sz val="10"/>
        <rFont val="Arial"/>
        <family val="2"/>
        <charset val="204"/>
      </rPr>
      <t>Пер-ки нитрил-ые</t>
    </r>
    <r>
      <rPr>
        <sz val="10"/>
        <rFont val="Arial"/>
        <family val="2"/>
        <charset val="204"/>
      </rPr>
      <t xml:space="preserve"> текстур-ые, нестирил., неопудр.Benovy   100 шт. MCNFTB003IW</t>
    </r>
  </si>
  <si>
    <r>
      <rPr>
        <b/>
        <sz val="10"/>
        <rFont val="Arial"/>
        <family val="2"/>
        <charset val="204"/>
      </rPr>
      <t>Шпагат</t>
    </r>
    <r>
      <rPr>
        <sz val="10"/>
        <rFont val="Arial"/>
        <family val="2"/>
        <charset val="204"/>
      </rPr>
      <t xml:space="preserve"> полипропил. некруч.1000 ТЕКС на шпуле 5кг </t>
    </r>
    <r>
      <rPr>
        <sz val="9"/>
        <rFont val="Arial"/>
        <family val="2"/>
        <charset val="204"/>
      </rPr>
      <t>(+-10%)</t>
    </r>
  </si>
  <si>
    <r>
      <rPr>
        <b/>
        <sz val="10"/>
        <rFont val="Arial"/>
        <family val="2"/>
        <charset val="204"/>
      </rPr>
      <t>Сетка упаковочная</t>
    </r>
    <r>
      <rPr>
        <sz val="10"/>
        <rFont val="Arial"/>
        <family val="2"/>
        <charset val="204"/>
      </rPr>
      <t xml:space="preserve"> "Белсетка" марка Ф3/500 м, РБ</t>
    </r>
  </si>
  <si>
    <r>
      <rPr>
        <b/>
        <sz val="10"/>
        <rFont val="Arial"/>
        <family val="2"/>
        <charset val="204"/>
      </rPr>
      <t>Пакет майка</t>
    </r>
    <r>
      <rPr>
        <sz val="10"/>
        <rFont val="Arial"/>
        <family val="2"/>
        <charset val="204"/>
      </rPr>
      <t xml:space="preserve"> ПНД 40см+18*70 см 14 мк белый 100 шт/уп</t>
    </r>
  </si>
  <si>
    <r>
      <rPr>
        <b/>
        <sz val="10"/>
        <rFont val="Arial"/>
        <family val="2"/>
        <charset val="204"/>
      </rPr>
      <t>Пистолет упаковочный</t>
    </r>
    <r>
      <rPr>
        <sz val="10"/>
        <rFont val="Arial"/>
        <family val="2"/>
        <charset val="204"/>
      </rPr>
      <t xml:space="preserve"> для клейкой ленты ODM001K</t>
    </r>
  </si>
  <si>
    <r>
      <rPr>
        <b/>
        <sz val="10"/>
        <rFont val="Arial"/>
        <family val="2"/>
        <charset val="204"/>
      </rPr>
      <t>Ланч-бокс</t>
    </r>
    <r>
      <rPr>
        <sz val="10"/>
        <rFont val="Arial"/>
        <family val="2"/>
        <charset val="204"/>
      </rPr>
      <t xml:space="preserve"> вспен полист-л, LBE-1,2  380*250*40 </t>
    </r>
    <r>
      <rPr>
        <b/>
        <sz val="10"/>
        <rFont val="Arial"/>
        <family val="2"/>
        <charset val="204"/>
      </rPr>
      <t>Уп-100 шт</t>
    </r>
    <r>
      <rPr>
        <sz val="10"/>
        <rFont val="Arial"/>
        <family val="2"/>
        <charset val="204"/>
      </rPr>
      <t xml:space="preserve"> </t>
    </r>
  </si>
  <si>
    <r>
      <rPr>
        <b/>
        <sz val="10"/>
        <rFont val="Arial"/>
        <family val="2"/>
        <charset val="204"/>
      </rPr>
      <t>Крышка супница</t>
    </r>
    <r>
      <rPr>
        <sz val="10"/>
        <rFont val="Arial"/>
        <family val="2"/>
        <charset val="204"/>
      </rPr>
      <t xml:space="preserve"> ПК115МПСВ РБ </t>
    </r>
    <r>
      <rPr>
        <b/>
        <sz val="10"/>
        <rFont val="Arial"/>
        <family val="2"/>
        <charset val="204"/>
      </rPr>
      <t>Уп - 25 шт</t>
    </r>
  </si>
  <si>
    <r>
      <rPr>
        <b/>
        <sz val="10"/>
        <rFont val="Arial"/>
        <family val="2"/>
        <charset val="204"/>
      </rPr>
      <t xml:space="preserve">Мыльница </t>
    </r>
    <r>
      <rPr>
        <sz val="10"/>
        <rFont val="Arial"/>
        <family val="2"/>
        <charset val="204"/>
      </rPr>
      <t xml:space="preserve">настенная на шурупах SK138 </t>
    </r>
  </si>
  <si>
    <r>
      <rPr>
        <b/>
        <sz val="10"/>
        <rFont val="Arial"/>
        <family val="2"/>
        <charset val="204"/>
      </rPr>
      <t>Корзина для мусора</t>
    </r>
    <r>
      <rPr>
        <sz val="10"/>
        <rFont val="Arial"/>
        <family val="2"/>
        <charset val="204"/>
      </rPr>
      <t xml:space="preserve"> 11 л.  MPG023692</t>
    </r>
  </si>
  <si>
    <r>
      <rPr>
        <b/>
        <sz val="10"/>
        <rFont val="Arial"/>
        <family val="2"/>
        <charset val="204"/>
      </rPr>
      <t>Вешалка д/верхней одежды</t>
    </r>
    <r>
      <rPr>
        <sz val="10"/>
        <rFont val="Arial"/>
        <family val="2"/>
        <charset val="204"/>
      </rPr>
      <t xml:space="preserve"> р 48-50 (черная) SK154</t>
    </r>
  </si>
  <si>
    <r>
      <rPr>
        <b/>
        <sz val="10"/>
        <rFont val="Arial"/>
        <family val="2"/>
        <charset val="204"/>
      </rPr>
      <t>Ведро</t>
    </r>
    <r>
      <rPr>
        <sz val="10"/>
        <rFont val="Arial"/>
        <family val="2"/>
        <charset val="204"/>
      </rPr>
      <t xml:space="preserve"> 5 л. Классика  Кр.,жел, черн, зел.  SK290</t>
    </r>
  </si>
  <si>
    <r>
      <rPr>
        <b/>
        <sz val="10"/>
        <rFont val="Arial"/>
        <family val="2"/>
        <charset val="204"/>
      </rPr>
      <t>Ёрш для унитаза</t>
    </r>
    <r>
      <rPr>
        <sz val="10"/>
        <rFont val="Arial"/>
        <family val="2"/>
        <charset val="204"/>
      </rPr>
      <t xml:space="preserve"> Арона MPG1455</t>
    </r>
  </si>
  <si>
    <r>
      <rPr>
        <b/>
        <sz val="10"/>
        <rFont val="Arial"/>
        <family val="2"/>
        <charset val="204"/>
      </rPr>
      <t>Вантуз</t>
    </r>
    <r>
      <rPr>
        <sz val="10"/>
        <rFont val="Arial"/>
        <family val="2"/>
        <charset val="204"/>
      </rPr>
      <t xml:space="preserve"> D=10,5 см, ручка 25 см, GS - 0905</t>
    </r>
  </si>
  <si>
    <r>
      <rPr>
        <b/>
        <sz val="10"/>
        <rFont val="Arial"/>
        <family val="2"/>
        <charset val="204"/>
      </rPr>
      <t>Метла</t>
    </r>
    <r>
      <rPr>
        <sz val="10"/>
        <rFont val="Arial"/>
        <family val="2"/>
        <charset val="204"/>
      </rPr>
      <t xml:space="preserve"> веерная №2 ЕВРО резьба  MPG0021</t>
    </r>
  </si>
  <si>
    <r>
      <rPr>
        <b/>
        <sz val="10"/>
        <rFont val="Arial"/>
        <family val="2"/>
        <charset val="204"/>
      </rPr>
      <t>Веник</t>
    </r>
    <r>
      <rPr>
        <sz val="10"/>
        <rFont val="Arial"/>
        <family val="2"/>
        <charset val="204"/>
      </rPr>
      <t xml:space="preserve"> "Сорго" 2-х прошивной, Молдова</t>
    </r>
  </si>
  <si>
    <r>
      <rPr>
        <b/>
        <sz val="10"/>
        <rFont val="Arial"/>
        <family val="2"/>
        <charset val="204"/>
      </rPr>
      <t>Щетка-сметка</t>
    </r>
    <r>
      <rPr>
        <sz val="10"/>
        <rFont val="Arial"/>
        <family val="2"/>
        <charset val="204"/>
      </rPr>
      <t xml:space="preserve"> "Палермо" MPG1587</t>
    </r>
  </si>
  <si>
    <r>
      <rPr>
        <b/>
        <sz val="10"/>
        <rFont val="Arial"/>
        <family val="2"/>
        <charset val="204"/>
      </rPr>
      <t>Совок для сыпучих продуктов</t>
    </r>
    <r>
      <rPr>
        <sz val="10"/>
        <rFont val="Arial"/>
        <family val="2"/>
        <charset val="204"/>
      </rPr>
      <t xml:space="preserve"> 1л. </t>
    </r>
  </si>
  <si>
    <r>
      <rPr>
        <b/>
        <sz val="10"/>
        <rFont val="Arial"/>
        <family val="2"/>
        <charset val="204"/>
      </rPr>
      <t xml:space="preserve">Совок </t>
    </r>
    <r>
      <rPr>
        <sz val="10"/>
        <rFont val="Arial"/>
        <family val="2"/>
        <charset val="204"/>
      </rPr>
      <t>МП  MPG020257</t>
    </r>
  </si>
  <si>
    <r>
      <rPr>
        <b/>
        <sz val="10"/>
        <rFont val="Arial"/>
        <family val="2"/>
        <charset val="204"/>
      </rPr>
      <t>Окномойка</t>
    </r>
    <r>
      <rPr>
        <sz val="10"/>
        <rFont val="Arial"/>
        <family val="2"/>
        <charset val="204"/>
      </rPr>
      <t xml:space="preserve"> Умничка 25 см, ручка 45см. черн </t>
    </r>
    <r>
      <rPr>
        <sz val="9"/>
        <rFont val="Arial"/>
        <family val="2"/>
        <charset val="204"/>
      </rPr>
      <t>KWL10503-10</t>
    </r>
  </si>
  <si>
    <r>
      <rPr>
        <b/>
        <sz val="10"/>
        <rFont val="Arial"/>
        <family val="2"/>
        <charset val="204"/>
      </rPr>
      <t>Швабра</t>
    </r>
    <r>
      <rPr>
        <sz val="10"/>
        <rFont val="Arial"/>
        <family val="2"/>
        <charset val="204"/>
      </rPr>
      <t xml:space="preserve"> Твист Умничка,телескоп. ручка 130см, KD8210</t>
    </r>
  </si>
  <si>
    <r>
      <rPr>
        <b/>
        <sz val="10"/>
        <rFont val="Arial"/>
        <family val="2"/>
        <charset val="204"/>
      </rPr>
      <t>Грабли</t>
    </r>
    <r>
      <rPr>
        <sz val="10"/>
        <rFont val="Arial"/>
        <family val="2"/>
        <charset val="204"/>
      </rPr>
      <t xml:space="preserve"> веерные проволочные 22 зуб, РФ</t>
    </r>
  </si>
  <si>
    <r>
      <rPr>
        <b/>
        <sz val="10"/>
        <rFont val="Arial"/>
        <family val="2"/>
        <charset val="204"/>
      </rPr>
      <t>Лестница</t>
    </r>
    <r>
      <rPr>
        <sz val="10"/>
        <rFont val="Arial"/>
        <family val="2"/>
        <charset val="204"/>
      </rPr>
      <t xml:space="preserve"> 2-сторонняя алюминиевая (2+2 ст.) Tarko 04202</t>
    </r>
  </si>
  <si>
    <r>
      <rPr>
        <b/>
        <sz val="10"/>
        <rFont val="Arial"/>
        <family val="2"/>
        <charset val="204"/>
      </rPr>
      <t>Прищепки</t>
    </r>
    <r>
      <rPr>
        <sz val="10"/>
        <rFont val="Arial"/>
        <family val="2"/>
        <charset val="204"/>
      </rPr>
      <t xml:space="preserve"> Умничка малые 24 шт, 7.4 см D0724-24</t>
    </r>
  </si>
  <si>
    <r>
      <rPr>
        <b/>
        <sz val="10"/>
        <rFont val="Arial"/>
        <family val="2"/>
        <charset val="204"/>
      </rPr>
      <t>Пломба</t>
    </r>
    <r>
      <rPr>
        <sz val="10"/>
        <rFont val="Arial"/>
        <family val="2"/>
        <charset val="204"/>
      </rPr>
      <t xml:space="preserve"> свинцова двухкамерная 10мм, 1 кг</t>
    </r>
  </si>
  <si>
    <r>
      <rPr>
        <b/>
        <sz val="10"/>
        <rFont val="Arial"/>
        <family val="2"/>
        <charset val="204"/>
      </rPr>
      <t>Коврик</t>
    </r>
    <r>
      <rPr>
        <sz val="10"/>
        <rFont val="Arial"/>
        <family val="2"/>
        <charset val="204"/>
      </rPr>
      <t xml:space="preserve"> влаговпитывающий ребристый 40 х 60 см, MPG5477</t>
    </r>
  </si>
  <si>
    <r>
      <rPr>
        <b/>
        <sz val="10"/>
        <rFont val="Arial"/>
        <family val="2"/>
        <charset val="204"/>
      </rPr>
      <t>Мешки д/мусора ПНД 120 л</t>
    </r>
    <r>
      <rPr>
        <sz val="10"/>
        <rFont val="Arial"/>
        <family val="2"/>
        <charset val="204"/>
      </rPr>
      <t>, 10 шт, 8 мкм. Mirpack Эконом</t>
    </r>
  </si>
  <si>
    <r>
      <rPr>
        <b/>
        <sz val="10"/>
        <rFont val="Arial"/>
        <family val="2"/>
        <charset val="204"/>
      </rPr>
      <t>Мешки д/уборки строит. мусора</t>
    </r>
    <r>
      <rPr>
        <sz val="10"/>
        <rFont val="Arial"/>
        <family val="2"/>
        <charset val="204"/>
      </rPr>
      <t xml:space="preserve"> 55*95см 4Walls STB008P</t>
    </r>
  </si>
  <si>
    <t>Средство чистящее "Чистая ванная" Avko, 500 мл</t>
  </si>
  <si>
    <r>
      <rPr>
        <b/>
        <sz val="10"/>
        <rFont val="Arial"/>
        <family val="2"/>
        <charset val="204"/>
      </rPr>
      <t>Рукав для запекания</t>
    </r>
    <r>
      <rPr>
        <sz val="10"/>
        <rFont val="Arial"/>
        <family val="2"/>
        <charset val="204"/>
      </rPr>
      <t xml:space="preserve"> 3 м Extra</t>
    </r>
  </si>
  <si>
    <r>
      <rPr>
        <b/>
        <sz val="10"/>
        <rFont val="Arial"/>
        <family val="2"/>
        <charset val="204"/>
      </rPr>
      <t>Форма алюминевая</t>
    </r>
    <r>
      <rPr>
        <sz val="10"/>
        <rFont val="Arial"/>
        <family val="2"/>
        <charset val="204"/>
      </rPr>
      <t xml:space="preserve"> для маффинов круглая 130 мл, 100шт </t>
    </r>
  </si>
  <si>
    <t>Форма алюминевая прямоугольная 490 мл, 50 шт,402-675</t>
  </si>
  <si>
    <t>Форма алюминевая прямоугольная 780 мл, 50 шт,402-707</t>
  </si>
  <si>
    <r>
      <t xml:space="preserve">Салфетка из Микроспана </t>
    </r>
    <r>
      <rPr>
        <sz val="10"/>
        <rFont val="Arial"/>
        <family val="2"/>
        <charset val="204"/>
      </rPr>
      <t>30*38 см без упаковки</t>
    </r>
    <r>
      <rPr>
        <sz val="9"/>
        <rFont val="Arial"/>
        <family val="2"/>
        <charset val="204"/>
      </rPr>
      <t xml:space="preserve"> </t>
    </r>
  </si>
  <si>
    <t>Перчатки нитриловые Aviora 100 шт. Малайзия, 402-659</t>
  </si>
  <si>
    <r>
      <rPr>
        <b/>
        <sz val="10"/>
        <rFont val="Arial"/>
        <family val="2"/>
        <charset val="204"/>
      </rPr>
      <t>Шапочка одноразовая</t>
    </r>
    <r>
      <rPr>
        <sz val="10"/>
        <rFont val="Arial"/>
        <family val="2"/>
        <charset val="204"/>
      </rPr>
      <t xml:space="preserve">  Шарлотта 100 шт. бел, син. </t>
    </r>
  </si>
  <si>
    <r>
      <rPr>
        <b/>
        <sz val="10"/>
        <rFont val="Arial"/>
        <family val="2"/>
        <charset val="204"/>
      </rPr>
      <t>Зубочистки</t>
    </r>
    <r>
      <rPr>
        <sz val="10"/>
        <rFont val="Arial"/>
        <family val="2"/>
        <charset val="204"/>
      </rPr>
      <t xml:space="preserve"> индивид-ые в пл. уп 1000 шт. Aviora 401-488</t>
    </r>
  </si>
  <si>
    <t>Зубочистки индивидуальные в бум. 1000 шт. Aviora 401-610</t>
  </si>
  <si>
    <t>Зубочистки с метолом в ПП уп. 1000 шт. Aviora 401-489</t>
  </si>
  <si>
    <r>
      <rPr>
        <b/>
        <sz val="10"/>
        <rFont val="Arial"/>
        <family val="2"/>
        <charset val="204"/>
      </rPr>
      <t xml:space="preserve">Покрытия на унитаз </t>
    </r>
    <r>
      <rPr>
        <sz val="10"/>
        <rFont val="Arial"/>
        <family val="2"/>
        <charset val="204"/>
      </rPr>
      <t>однарозовые Paterra 100 шт, 104-019</t>
    </r>
  </si>
  <si>
    <t>Салфетки ажурные Горница d-20 см, 250 шт.  104-056</t>
  </si>
  <si>
    <t xml:space="preserve">Салфетки ажурные Розочка d-24 см, 250 шт.  </t>
  </si>
  <si>
    <t xml:space="preserve">Салфетки ажурные Розочка d-30 см, 250 шт.  </t>
  </si>
  <si>
    <r>
      <rPr>
        <b/>
        <sz val="10"/>
        <rFont val="Arial"/>
        <family val="2"/>
        <charset val="204"/>
      </rPr>
      <t>Салфетка из МИКРОФ-Ы</t>
    </r>
    <r>
      <rPr>
        <sz val="10"/>
        <rFont val="Arial"/>
        <family val="2"/>
        <charset val="204"/>
      </rPr>
      <t xml:space="preserve"> 29*29 "Бережлив. Хозяйка" жел. </t>
    </r>
  </si>
  <si>
    <t xml:space="preserve">МОП Хлопок серый нашивной 50*15 карман+ухоТВ02-13 </t>
  </si>
  <si>
    <t>МОП Микрофибра белая 50*15 карман+ухо ГИ030/6-09</t>
  </si>
  <si>
    <t>Ветошь маечный трикотаж светлый по 10 кг.</t>
  </si>
  <si>
    <t xml:space="preserve">Салфетка из МИКРОФ-РЫ 29*29,гол,желт,фиол.М200Е1,2,3
 </t>
  </si>
  <si>
    <t>Губка для автомобиля Good Way прямоугольная  MPU0694</t>
  </si>
  <si>
    <r>
      <rPr>
        <b/>
        <sz val="10"/>
        <rFont val="Arial"/>
        <family val="2"/>
        <charset val="204"/>
      </rPr>
      <t>Мешкок для мусора ПВД 360 л,</t>
    </r>
    <r>
      <rPr>
        <sz val="10"/>
        <rFont val="Arial"/>
        <family val="2"/>
        <charset val="204"/>
      </rPr>
      <t xml:space="preserve">120*160, 60мкм. </t>
    </r>
    <r>
      <rPr>
        <sz val="9"/>
        <rFont val="Arial"/>
        <family val="2"/>
        <charset val="204"/>
      </rPr>
      <t>ПЛ2400148</t>
    </r>
  </si>
  <si>
    <t xml:space="preserve">Мыло туалетное в обертке Стандарт Орхидея, 100  гр. </t>
  </si>
  <si>
    <t>Средство моющее для пола и стен Mr. Proper, 500 мл</t>
  </si>
  <si>
    <t>Ср-во чистящее для кухонных плит, духовок 750 мл</t>
  </si>
  <si>
    <r>
      <rPr>
        <b/>
        <sz val="10"/>
        <rFont val="Arial"/>
        <family val="2"/>
        <charset val="204"/>
      </rPr>
      <t>Полотенце</t>
    </r>
    <r>
      <rPr>
        <sz val="10"/>
        <rFont val="Arial"/>
        <family val="2"/>
        <charset val="204"/>
      </rPr>
      <t xml:space="preserve"> вафельное 50*95 см, арт 1217</t>
    </r>
  </si>
  <si>
    <r>
      <rPr>
        <b/>
        <sz val="10"/>
        <rFont val="Arial"/>
        <family val="2"/>
        <charset val="204"/>
      </rPr>
      <t>Трубочки</t>
    </r>
    <r>
      <rPr>
        <sz val="10"/>
        <rFont val="Arial"/>
        <family val="2"/>
        <charset val="204"/>
      </rPr>
      <t xml:space="preserve"> с гофрой, 5 х 210 мм, черные 250 шт/уп</t>
    </r>
  </si>
  <si>
    <t>Трубочки с гофрой. 5 х 210 мм, цветные 250 шт.</t>
  </si>
  <si>
    <t xml:space="preserve">Средство для мытья посуды Fairy 450 мл. </t>
  </si>
  <si>
    <r>
      <t xml:space="preserve">Пер-ки латек. тонкие 20шт "Бережливая хозяйка" L </t>
    </r>
    <r>
      <rPr>
        <b/>
        <sz val="10"/>
        <rFont val="Arial"/>
        <family val="2"/>
        <charset val="204"/>
      </rPr>
      <t>Б105</t>
    </r>
    <r>
      <rPr>
        <sz val="10"/>
        <rFont val="Arial"/>
        <family val="2"/>
        <charset val="204"/>
      </rPr>
      <t xml:space="preserve"> 
</t>
    </r>
  </si>
  <si>
    <t>Кондиционер для белья концентрат Vernel 910 мл.</t>
  </si>
  <si>
    <r>
      <t>Ведро 16л. б\отжима прямоуг.с носиком</t>
    </r>
    <r>
      <rPr>
        <sz val="9"/>
        <rFont val="Arial"/>
        <family val="2"/>
        <charset val="204"/>
      </rPr>
      <t xml:space="preserve"> MPG021209</t>
    </r>
  </si>
  <si>
    <r>
      <t xml:space="preserve">Ведро 16л. с отжимом прямоуг.с носиком Комфорт </t>
    </r>
    <r>
      <rPr>
        <sz val="9"/>
        <rFont val="Arial"/>
        <family val="2"/>
        <charset val="204"/>
      </rPr>
      <t>MPG5903</t>
    </r>
  </si>
  <si>
    <t>Щетка тротуарная "ФОДЖА"  MPG1099</t>
  </si>
  <si>
    <t>Щетка подметальная "Жасмин" MPG021452*</t>
  </si>
  <si>
    <t>Щетка подметальная "Лучиана" MPG-020332</t>
  </si>
  <si>
    <r>
      <rPr>
        <b/>
        <sz val="10"/>
        <rFont val="Arial"/>
        <family val="2"/>
        <charset val="204"/>
      </rPr>
      <t xml:space="preserve">Черенок </t>
    </r>
    <r>
      <rPr>
        <sz val="10"/>
        <rFont val="Arial"/>
        <family val="2"/>
        <charset val="204"/>
      </rPr>
      <t>для щеток 110 см ЕВРО (дерево)</t>
    </r>
  </si>
  <si>
    <t>Грабли веерные проволочные ГВ-п без черенка, РФ</t>
  </si>
  <si>
    <r>
      <rPr>
        <b/>
        <sz val="10"/>
        <rFont val="Arial"/>
        <family val="2"/>
        <charset val="204"/>
      </rPr>
      <t>Лопата</t>
    </r>
    <r>
      <rPr>
        <sz val="10"/>
        <rFont val="Arial"/>
        <family val="2"/>
        <charset val="204"/>
      </rPr>
      <t xml:space="preserve"> снегоуборочная широкая ЛСШ без черенка</t>
    </r>
  </si>
  <si>
    <r>
      <t>Полотенца бум.V-сл. Универсал целлюлоза, белые</t>
    </r>
    <r>
      <rPr>
        <sz val="9"/>
        <rFont val="Arial"/>
        <family val="2"/>
        <charset val="204"/>
      </rPr>
      <t xml:space="preserve"> ,200 л</t>
    </r>
  </si>
  <si>
    <t xml:space="preserve">Шпагат (нить) полипропиленовый белый 1000 текс*1000 м </t>
  </si>
  <si>
    <r>
      <rPr>
        <b/>
        <sz val="10"/>
        <rFont val="Arial"/>
        <family val="2"/>
        <charset val="204"/>
      </rPr>
      <t>Скотч</t>
    </r>
    <r>
      <rPr>
        <sz val="10"/>
        <rFont val="Arial"/>
        <family val="2"/>
        <charset val="204"/>
      </rPr>
      <t xml:space="preserve"> малярный (Крепп) 50 мм Klebebander арт.015/36/6 </t>
    </r>
  </si>
  <si>
    <r>
      <rPr>
        <b/>
        <sz val="10"/>
        <rFont val="Arial"/>
        <family val="2"/>
        <charset val="204"/>
      </rPr>
      <t xml:space="preserve">Стакан </t>
    </r>
    <r>
      <rPr>
        <sz val="10"/>
        <rFont val="Arial"/>
        <family val="2"/>
        <charset val="204"/>
      </rPr>
      <t xml:space="preserve">100 мл прозрачный ПП. </t>
    </r>
    <r>
      <rPr>
        <b/>
        <sz val="10"/>
        <rFont val="Arial"/>
        <family val="2"/>
        <charset val="204"/>
      </rPr>
      <t>Уп.-100 шт.</t>
    </r>
  </si>
  <si>
    <r>
      <rPr>
        <b/>
        <sz val="10"/>
        <rFont val="Arial"/>
        <family val="2"/>
        <charset val="204"/>
      </rPr>
      <t>Чашка</t>
    </r>
    <r>
      <rPr>
        <sz val="10"/>
        <rFont val="Arial"/>
        <family val="2"/>
        <charset val="204"/>
      </rPr>
      <t xml:space="preserve"> кофейная 180 мл, корич, бел, </t>
    </r>
    <r>
      <rPr>
        <b/>
        <sz val="10"/>
        <rFont val="Arial"/>
        <family val="2"/>
        <charset val="204"/>
      </rPr>
      <t>Уп.-50 шт</t>
    </r>
    <r>
      <rPr>
        <sz val="10"/>
        <rFont val="Arial"/>
        <family val="2"/>
        <charset val="204"/>
      </rPr>
      <t>.</t>
    </r>
  </si>
  <si>
    <r>
      <rPr>
        <b/>
        <sz val="10"/>
        <rFont val="Arial"/>
        <family val="2"/>
        <charset val="204"/>
      </rPr>
      <t>Держатель для туалетной бумаги</t>
    </r>
    <r>
      <rPr>
        <sz val="10"/>
        <rFont val="Arial"/>
        <family val="2"/>
        <charset val="204"/>
      </rPr>
      <t xml:space="preserve"> Волна  MPG020462</t>
    </r>
  </si>
  <si>
    <t>Канцелярская лента 19*28 Klebebander TSK312T</t>
  </si>
  <si>
    <t>Ножницы 21 см с резин-ми кольцами на ручках TZ85</t>
  </si>
  <si>
    <t>Резак канцелярский большой, 18 мм, арт. SC023</t>
  </si>
  <si>
    <t>Закладки бумажные 20*30, 4 цв по 30 л</t>
  </si>
  <si>
    <t>Клей ПВА-М, 85 гр, с дозатором</t>
  </si>
  <si>
    <t>Скрепки, 50 мм, гофрированные, 50 шт.</t>
  </si>
  <si>
    <t>Степлер на 20 л.</t>
  </si>
  <si>
    <r>
      <rPr>
        <b/>
        <sz val="10"/>
        <rFont val="Arial"/>
        <family val="2"/>
        <charset val="204"/>
      </rPr>
      <t>Насадка д/швабры</t>
    </r>
    <r>
      <rPr>
        <sz val="10"/>
        <rFont val="Arial"/>
        <family val="2"/>
        <charset val="204"/>
      </rPr>
      <t xml:space="preserve"> м/фибра-лапша рез. 42*12см KD-R10</t>
    </r>
  </si>
  <si>
    <t xml:space="preserve">Представленный прайс-лист не отображает всей полноты ассортимента и не является публичной офертой, поэтому цены могут незначительно отличаться от текущих. </t>
  </si>
  <si>
    <t>Чистящее средство Чистая кухня, 500 мл</t>
  </si>
  <si>
    <r>
      <t>Мешки д/мусора ПВД 90*125 240 л., 60 мкм. черн.</t>
    </r>
    <r>
      <rPr>
        <sz val="9"/>
        <rFont val="Arial"/>
        <family val="2"/>
        <charset val="204"/>
      </rPr>
      <t>ПЛ240091</t>
    </r>
  </si>
  <si>
    <t>Штанга телескопическая алюминиевая 3*150</t>
  </si>
  <si>
    <r>
      <rPr>
        <b/>
        <sz val="10"/>
        <rFont val="Arial"/>
        <family val="2"/>
        <charset val="204"/>
      </rPr>
      <t>Перчатки КЩС</t>
    </r>
    <r>
      <rPr>
        <sz val="10"/>
        <rFont val="Arial"/>
        <family val="2"/>
        <charset val="204"/>
      </rPr>
      <t xml:space="preserve"> технические тип 2, р-р 8,9,10</t>
    </r>
  </si>
  <si>
    <t xml:space="preserve">Крупный ОПТ без НДС </t>
  </si>
  <si>
    <t>Крупный ОПТ без НДС</t>
  </si>
  <si>
    <t xml:space="preserve">ОПТ без НДС </t>
  </si>
  <si>
    <t xml:space="preserve">* Расценки КРУПНЫЙ ОПТ действуют при единоразовом заказе на общую сумму от 500.00 руб.; </t>
  </si>
  <si>
    <t>* Оптовые цены действуют: при единоразовом заказе на общую сумму от 250.00 руб.; 
для постоянных клиентов, закупающих в общем на 500.00 руб. в месяц.</t>
  </si>
  <si>
    <r>
      <rPr>
        <b/>
        <sz val="10"/>
        <rFont val="Arial"/>
        <family val="2"/>
        <charset val="204"/>
      </rPr>
      <t>Пер-ки виниловые</t>
    </r>
    <r>
      <rPr>
        <sz val="10"/>
        <rFont val="Arial"/>
        <family val="2"/>
        <charset val="204"/>
      </rPr>
      <t xml:space="preserve"> прозр-ые Benovy 100шт. Х</t>
    </r>
    <r>
      <rPr>
        <sz val="8"/>
        <rFont val="Arial"/>
        <family val="2"/>
        <charset val="204"/>
      </rPr>
      <t>L,M</t>
    </r>
    <r>
      <rPr>
        <sz val="1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MVG002B35</t>
    </r>
  </si>
  <si>
    <t>Стиральный порошок Айсберг Colour 3 кг.</t>
  </si>
  <si>
    <r>
      <rPr>
        <b/>
        <sz val="10"/>
        <rFont val="Arial"/>
        <family val="2"/>
        <charset val="204"/>
      </rPr>
      <t>Свечи</t>
    </r>
    <r>
      <rPr>
        <sz val="10"/>
        <rFont val="Arial"/>
        <family val="2"/>
        <charset val="204"/>
      </rPr>
      <t xml:space="preserve"> в гильзе 100 шт Pattera 401-560</t>
    </r>
  </si>
  <si>
    <t>Термометр комнатный (пластик). ТСК-6</t>
  </si>
  <si>
    <t xml:space="preserve">Средство очищающее универсальное МСК, 5.5 кг. </t>
  </si>
  <si>
    <t>Средство универсальное  кислотное Дескам, 5.5 кг.</t>
  </si>
  <si>
    <t xml:space="preserve">Ср-во (от масла, нагара, перед покраской) Прималюкс, 5 л </t>
  </si>
  <si>
    <r>
      <rPr>
        <b/>
        <sz val="10"/>
        <rFont val="Arial"/>
        <family val="2"/>
        <charset val="204"/>
      </rPr>
      <t>Замок навесной</t>
    </r>
    <r>
      <rPr>
        <sz val="10"/>
        <rFont val="Arial"/>
        <family val="2"/>
        <charset val="204"/>
      </rPr>
      <t xml:space="preserve"> 50 мм, серый, латун. цилиндр, 3 ключа </t>
    </r>
  </si>
  <si>
    <t xml:space="preserve">Ср-во д/мытья стекол, пласт., зеркал Unicum спрей 0,5 л </t>
  </si>
  <si>
    <t>Полироль универсальный Mebelux 300 мл</t>
  </si>
  <si>
    <r>
      <rPr>
        <b/>
        <sz val="10"/>
        <rFont val="Arial"/>
        <family val="2"/>
        <charset val="204"/>
      </rPr>
      <t>Полироль</t>
    </r>
    <r>
      <rPr>
        <sz val="10"/>
        <rFont val="Arial"/>
        <family val="2"/>
        <charset val="204"/>
      </rPr>
      <t xml:space="preserve"> для мебели 5 в 1  Mebelux 500 мл</t>
    </r>
  </si>
  <si>
    <r>
      <rPr>
        <b/>
        <sz val="10"/>
        <rFont val="Arial"/>
        <family val="2"/>
        <charset val="204"/>
      </rPr>
      <t>Средство для мытья стекол</t>
    </r>
    <r>
      <rPr>
        <sz val="10"/>
        <rFont val="Arial"/>
        <family val="2"/>
        <charset val="204"/>
      </rPr>
      <t xml:space="preserve"> AJM Glass  750 л.</t>
    </r>
  </si>
  <si>
    <t>Универсальное отбеливающее ср-во AJM Белизна 1 л.</t>
  </si>
  <si>
    <t>Мыло хозяйственное отбеливающее 72% в обертке 200 гр</t>
  </si>
  <si>
    <t>Таз круглый с ручками "Эконом" 12 л., MPG 5538</t>
  </si>
  <si>
    <r>
      <rPr>
        <b/>
        <sz val="10"/>
        <rFont val="Arial"/>
        <family val="2"/>
        <charset val="204"/>
      </rPr>
      <t>Таз</t>
    </r>
    <r>
      <rPr>
        <sz val="10"/>
        <rFont val="Arial"/>
        <family val="2"/>
        <charset val="204"/>
      </rPr>
      <t xml:space="preserve"> пищевой прямоугольный Чудо 10 л., MPG 5576</t>
    </r>
  </si>
  <si>
    <t xml:space="preserve">Стиральный порошок Новый Лотос автомат Бархим 3 кг. </t>
  </si>
  <si>
    <t>Пакет майка ПНД 30*14*60см,14 мк,бел, Уп-100.</t>
  </si>
  <si>
    <r>
      <rPr>
        <b/>
        <sz val="14"/>
        <rFont val="Arial"/>
        <family val="2"/>
        <charset val="204"/>
      </rPr>
      <t xml:space="preserve">Частное Предприятие "Смартикон"
</t>
    </r>
    <r>
      <rPr>
        <sz val="12"/>
        <rFont val="Arial"/>
        <family val="2"/>
        <charset val="204"/>
      </rPr>
      <t xml:space="preserve">Юр.адрес: 220012 г. Минск, пер. Калинина д.5А, к.71а. Офис/Склад: г. Минск, пер. Калинина 5а, УНП 191827058
р/с BY07ALFA30122721260030270000  в ЗАО «Альфа-Банк» 220013, г. Минск, ул. Сурганова, 43 СВИФТ — ALFABY2X. 
             тел: 017 280 14 72; 017 280 40 57; моб: 029 655 55 31, 029 666 94 55, 029 511 57 34                                                         
 www.смартикон.бел     www.smartikon.by    E-mail:optovik79@tut.by       </t>
    </r>
  </si>
  <si>
    <r>
      <rPr>
        <b/>
        <sz val="10"/>
        <rFont val="Arial"/>
        <family val="2"/>
        <charset val="204"/>
      </rPr>
      <t>Мешки</t>
    </r>
    <r>
      <rPr>
        <sz val="10"/>
        <rFont val="Arial"/>
        <family val="2"/>
        <charset val="204"/>
      </rPr>
      <t xml:space="preserve"> кондитерские одноразовые  Komfi 10 шт. PB010K</t>
    </r>
  </si>
  <si>
    <r>
      <rPr>
        <b/>
        <sz val="10"/>
        <rFont val="Arial"/>
        <family val="2"/>
        <charset val="204"/>
      </rPr>
      <t xml:space="preserve">Антиклей </t>
    </r>
    <r>
      <rPr>
        <sz val="10"/>
        <rFont val="Arial"/>
        <family val="2"/>
        <charset val="204"/>
      </rPr>
      <t>удалитель следов клея и скотча Милен, 210 мл.</t>
    </r>
  </si>
  <si>
    <r>
      <rPr>
        <b/>
        <sz val="10"/>
        <rFont val="Arial"/>
        <family val="2"/>
        <charset val="204"/>
      </rPr>
      <t>Крем для рук</t>
    </r>
    <r>
      <rPr>
        <sz val="10"/>
        <rFont val="Arial"/>
        <family val="2"/>
        <charset val="204"/>
      </rPr>
      <t xml:space="preserve"> Бархатные ручки</t>
    </r>
    <r>
      <rPr>
        <b/>
        <sz val="10"/>
        <rFont val="Arial"/>
        <family val="2"/>
        <charset val="204"/>
      </rPr>
      <t>,</t>
    </r>
    <r>
      <rPr>
        <sz val="10"/>
        <rFont val="Arial"/>
        <family val="2"/>
        <charset val="204"/>
      </rPr>
      <t xml:space="preserve"> 80 гр</t>
    </r>
  </si>
  <si>
    <r>
      <rPr>
        <b/>
        <sz val="10"/>
        <rFont val="Arial"/>
        <family val="2"/>
        <charset val="204"/>
      </rPr>
      <t>Паста моющая синтетическая унив-ная</t>
    </r>
    <r>
      <rPr>
        <sz val="10"/>
        <rFont val="Arial"/>
        <family val="2"/>
        <charset val="204"/>
      </rPr>
      <t xml:space="preserve"> Мечта</t>
    </r>
    <r>
      <rPr>
        <b/>
        <sz val="10"/>
        <rFont val="Arial"/>
        <family val="2"/>
        <charset val="204"/>
      </rPr>
      <t>,</t>
    </r>
    <r>
      <rPr>
        <sz val="10"/>
        <rFont val="Arial"/>
        <family val="2"/>
        <charset val="204"/>
      </rPr>
      <t xml:space="preserve"> 400 гр.</t>
    </r>
  </si>
  <si>
    <t>Стретч пленка 500 х 17 мкм (1 рул х 2,358 кг) стандарт, РФ</t>
  </si>
  <si>
    <t>Папка-регистратор 80 мм, черный мрамор, арт. SPR 8/24;</t>
  </si>
  <si>
    <t>Полотенце цел-ное "Хатник" в рул., уп-2 шт, 2-х слойн, РБ</t>
  </si>
  <si>
    <t>Салфетка ВЛАГОВПИТ. "Lemon Moon" L500 3 шт</t>
  </si>
  <si>
    <t>Губка д/посуды 5 шт. "Бережливая хозяйка" 87*58*27  Б001</t>
  </si>
  <si>
    <t>Полотенце влагопроч. Бум. "Хатник" Z-сл. 200 л серое</t>
  </si>
  <si>
    <t>Термометр д/холод-ных и мороз-ных камер -35.+30 ТС-7АМ</t>
  </si>
  <si>
    <t>Средство универсальное отбеливающее Any Day Gloss 1л</t>
  </si>
  <si>
    <r>
      <rPr>
        <b/>
        <sz val="10"/>
        <rFont val="Arial"/>
        <family val="2"/>
        <charset val="204"/>
      </rPr>
      <t>Шампунь  для ручной стирки ковров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Vanish Gold</t>
    </r>
    <r>
      <rPr>
        <sz val="10"/>
        <rFont val="Arial"/>
        <family val="2"/>
        <charset val="204"/>
      </rPr>
      <t>, 750мл.</t>
    </r>
  </si>
  <si>
    <t>Черенок для щеток прорезиненый 120 см MPG1554</t>
  </si>
  <si>
    <r>
      <t xml:space="preserve">Черенок для щеток Эконом дерево 1 сорт 120 см </t>
    </r>
    <r>
      <rPr>
        <sz val="9"/>
        <rFont val="Arial"/>
        <family val="2"/>
        <charset val="204"/>
      </rPr>
      <t>MPG4456</t>
    </r>
  </si>
  <si>
    <t>Бумага туалетная "Мякишко-плюс 65 на втулке, РБ</t>
  </si>
  <si>
    <t>Бумага туалетная "Мякишко-люкс 45 на втулке" РБ</t>
  </si>
  <si>
    <t xml:space="preserve">Перчатки хозяйственные латексные двойной цвет L,М,S </t>
  </si>
  <si>
    <t>Швабра деревянная усиленная 50 см, РБ</t>
  </si>
  <si>
    <t>Веник 3-х прошивной, Молдова</t>
  </si>
  <si>
    <t>Средство чистящее для унитаза Domestos, 1 л.</t>
  </si>
  <si>
    <r>
      <rPr>
        <b/>
        <sz val="10"/>
        <rFont val="Arial"/>
        <family val="2"/>
        <charset val="204"/>
      </rPr>
      <t>Совок</t>
    </r>
    <r>
      <rPr>
        <sz val="10"/>
        <rFont val="Arial"/>
        <family val="2"/>
        <charset val="204"/>
      </rPr>
      <t xml:space="preserve"> для сыпучих продуктов</t>
    </r>
  </si>
  <si>
    <t>Полотенца кухонные Zewa 1*2 рул. РФ</t>
  </si>
  <si>
    <t>Мочалка металлическая Lemon Moon, 15 гр, 2 шт. LC151</t>
  </si>
  <si>
    <t xml:space="preserve">Салфетки бум-е для диспенсеров Премиум белые 200 шт. </t>
  </si>
  <si>
    <t>Сменный блок гигиенический для унитаза Domestos, 40 гр</t>
  </si>
  <si>
    <r>
      <rPr>
        <b/>
        <sz val="10"/>
        <rFont val="Arial"/>
        <family val="2"/>
        <charset val="204"/>
      </rPr>
      <t>Стиральный порошок</t>
    </r>
    <r>
      <rPr>
        <sz val="10"/>
        <rFont val="Arial"/>
        <family val="2"/>
        <charset val="204"/>
      </rPr>
      <t xml:space="preserve"> Gallus 2,6 кг. Польша</t>
    </r>
  </si>
  <si>
    <r>
      <rPr>
        <b/>
        <sz val="10"/>
        <rFont val="Arial"/>
        <family val="2"/>
        <charset val="204"/>
      </rPr>
      <t>Мешки д/мусора ПВД160л</t>
    </r>
    <r>
      <rPr>
        <sz val="10"/>
        <rFont val="Arial"/>
        <family val="2"/>
        <charset val="204"/>
      </rPr>
      <t>,20шт,35мк.</t>
    </r>
    <r>
      <rPr>
        <sz val="9"/>
        <rFont val="Arial"/>
        <family val="2"/>
        <charset val="204"/>
      </rPr>
      <t>Professional16020440</t>
    </r>
  </si>
  <si>
    <r>
      <rPr>
        <b/>
        <sz val="10"/>
        <rFont val="Arial"/>
        <family val="2"/>
        <charset val="204"/>
      </rPr>
      <t>Мешки д/мус-а ПВД 240л</t>
    </r>
    <r>
      <rPr>
        <sz val="10"/>
        <rFont val="Arial"/>
        <family val="2"/>
        <charset val="204"/>
      </rPr>
      <t>,10шт,35мкм.</t>
    </r>
    <r>
      <rPr>
        <sz val="9"/>
        <rFont val="Arial"/>
        <family val="2"/>
        <charset val="204"/>
      </rPr>
      <t>Professional 24010560</t>
    </r>
  </si>
  <si>
    <r>
      <t xml:space="preserve">Соус-ца 50мл, H29 мм, 62 мм верх, 49 низ, прозр </t>
    </r>
    <r>
      <rPr>
        <b/>
        <sz val="10"/>
        <rFont val="Arial"/>
        <family val="2"/>
        <charset val="204"/>
      </rPr>
      <t>Уп- 80 шт</t>
    </r>
  </si>
  <si>
    <r>
      <t xml:space="preserve">Мешок д/мусора ПНД 30л,30шт,12мк. Mirpack Extra </t>
    </r>
    <r>
      <rPr>
        <sz val="8"/>
        <rFont val="Arial"/>
        <family val="2"/>
        <charset val="204"/>
      </rPr>
      <t xml:space="preserve">30053001 </t>
    </r>
  </si>
  <si>
    <t>Бумага для заметок 75*75мм, 80 л. Желтый</t>
  </si>
  <si>
    <t>Ср-во чист-ее д/плит, раковин, кафеля Пемоксоль-М 400 гр</t>
  </si>
  <si>
    <r>
      <rPr>
        <b/>
        <sz val="10"/>
        <rFont val="Arial"/>
        <family val="2"/>
        <charset val="204"/>
      </rPr>
      <t xml:space="preserve">Соус-ца </t>
    </r>
    <r>
      <rPr>
        <sz val="10"/>
        <rFont val="Arial"/>
        <family val="2"/>
        <charset val="204"/>
      </rPr>
      <t xml:space="preserve">30мл, H29 мм, D51мм верх, 37,7низ, прозр. </t>
    </r>
    <r>
      <rPr>
        <b/>
        <sz val="10"/>
        <rFont val="Arial"/>
        <family val="2"/>
        <charset val="204"/>
      </rPr>
      <t>80 шт</t>
    </r>
  </si>
  <si>
    <t>36 у</t>
  </si>
  <si>
    <t>35 у</t>
  </si>
  <si>
    <t>Палочки для шашлыка, 30 см, деревянные, 100 шт.</t>
  </si>
  <si>
    <r>
      <rPr>
        <b/>
        <sz val="10"/>
        <rFont val="Arial"/>
        <family val="2"/>
        <charset val="204"/>
      </rPr>
      <t>Пика</t>
    </r>
    <r>
      <rPr>
        <sz val="10"/>
        <rFont val="Arial"/>
        <family val="2"/>
        <charset val="204"/>
      </rPr>
      <t xml:space="preserve"> Булава 400 шт в ПВХ упаковке</t>
    </r>
  </si>
  <si>
    <t xml:space="preserve">Пакет майка ПНД 30*16*60 см 16 мкм, черные. 100 шт/уп  </t>
  </si>
  <si>
    <r>
      <rPr>
        <b/>
        <sz val="10"/>
        <rFont val="Arial"/>
        <family val="2"/>
        <charset val="204"/>
      </rPr>
      <t>Суши дно</t>
    </r>
    <r>
      <rPr>
        <sz val="10"/>
        <rFont val="Arial"/>
        <family val="2"/>
        <charset val="204"/>
      </rPr>
      <t xml:space="preserve"> ПР-С-19Д </t>
    </r>
    <r>
      <rPr>
        <b/>
        <sz val="10"/>
        <rFont val="Arial"/>
        <family val="2"/>
        <charset val="204"/>
      </rPr>
      <t>Коробка - 420 шт</t>
    </r>
  </si>
  <si>
    <r>
      <t xml:space="preserve">Суши крышка  ПР-С-19К </t>
    </r>
    <r>
      <rPr>
        <b/>
        <sz val="10"/>
        <rFont val="Arial"/>
        <family val="2"/>
        <charset val="204"/>
      </rPr>
      <t>Коробка - 420 шт</t>
    </r>
  </si>
  <si>
    <t>Совок с резинкой "ФЬЮДЖИ" син. резинка MPG1806</t>
  </si>
  <si>
    <t>Мешок д/мусора ПВД 60л,20шт, 20 мкм. M.Premium 6020150</t>
  </si>
  <si>
    <r>
      <t xml:space="preserve">Мешки д/мус-а ПСД 120л,50шт,20мкм Professional </t>
    </r>
    <r>
      <rPr>
        <sz val="9"/>
        <rFont val="Arial"/>
        <family val="2"/>
        <charset val="204"/>
      </rPr>
      <t>12050280</t>
    </r>
  </si>
  <si>
    <t xml:space="preserve">Лента полипропил-вая двустороняя 50мм*5м Klebebander </t>
  </si>
  <si>
    <t>Мешки 55х105 см для уборки строит. мусора  4Walls</t>
  </si>
  <si>
    <t>Зажим для бумаг 51 мм.,черный ,Sponsor</t>
  </si>
  <si>
    <r>
      <t xml:space="preserve">Мешок д/мусора ПНД 60 л, 30 шт, 12 мкм.  Extra </t>
    </r>
    <r>
      <rPr>
        <sz val="8"/>
        <rFont val="Arial"/>
        <family val="2"/>
        <charset val="204"/>
      </rPr>
      <t>60573001</t>
    </r>
  </si>
  <si>
    <t>Мешки д/мусора ПНД 60 л, 50 шт, 12 мкм. М.Extra 6050850</t>
  </si>
  <si>
    <r>
      <t xml:space="preserve">Мешки д\мус-а ПВД120л,10 шт, 40мкм. Premium+ </t>
    </r>
    <r>
      <rPr>
        <sz val="9"/>
        <rFont val="Arial"/>
        <family val="2"/>
        <charset val="204"/>
      </rPr>
      <t>12010500</t>
    </r>
  </si>
  <si>
    <t>Мешки д/мусора ПВД120л, 10шт, 18 мкм, Standart 12010300</t>
  </si>
  <si>
    <r>
      <rPr>
        <b/>
        <sz val="10"/>
        <rFont val="Arial"/>
        <family val="2"/>
        <charset val="204"/>
      </rPr>
      <t>Мешки д/мусора ПВД180л</t>
    </r>
    <r>
      <rPr>
        <sz val="10"/>
        <rFont val="Arial"/>
        <family val="2"/>
        <charset val="204"/>
      </rPr>
      <t>,10шт,30 мкм.</t>
    </r>
    <r>
      <rPr>
        <sz val="9"/>
        <rFont val="Arial"/>
        <family val="2"/>
        <charset val="204"/>
      </rPr>
      <t>Professional1801044</t>
    </r>
    <r>
      <rPr>
        <sz val="10"/>
        <rFont val="Arial"/>
        <family val="2"/>
        <charset val="204"/>
      </rPr>
      <t xml:space="preserve"> </t>
    </r>
  </si>
  <si>
    <t>Салфетки бумажные белые 100 шт., РБ</t>
  </si>
  <si>
    <r>
      <rPr>
        <b/>
        <sz val="10"/>
        <rFont val="Arial"/>
        <family val="2"/>
        <charset val="204"/>
      </rPr>
      <t>Ветошь</t>
    </r>
    <r>
      <rPr>
        <sz val="10"/>
        <rFont val="Arial"/>
        <family val="2"/>
        <charset val="204"/>
      </rPr>
      <t xml:space="preserve"> х/б белый ( кипа 10 кг.)</t>
    </r>
  </si>
  <si>
    <r>
      <rPr>
        <b/>
        <sz val="10"/>
        <rFont val="Arial"/>
        <family val="2"/>
        <charset val="204"/>
      </rPr>
      <t>Вилка</t>
    </r>
    <r>
      <rPr>
        <sz val="10"/>
        <rFont val="Arial"/>
        <family val="2"/>
        <charset val="204"/>
      </rPr>
      <t xml:space="preserve"> (компакт) белая в пленке цв., </t>
    </r>
    <r>
      <rPr>
        <b/>
        <sz val="10"/>
        <rFont val="Arial"/>
        <family val="2"/>
        <charset val="204"/>
      </rPr>
      <t>Уп.-100 шт.</t>
    </r>
  </si>
  <si>
    <r>
      <rPr>
        <b/>
        <sz val="10"/>
        <rFont val="Arial"/>
        <family val="2"/>
        <charset val="204"/>
      </rPr>
      <t>Ложка</t>
    </r>
    <r>
      <rPr>
        <sz val="10"/>
        <rFont val="Arial"/>
        <family val="2"/>
        <charset val="204"/>
      </rPr>
      <t xml:space="preserve"> столовая (компакт) белая в пленке, </t>
    </r>
    <r>
      <rPr>
        <b/>
        <sz val="10"/>
        <rFont val="Arial"/>
        <family val="2"/>
        <charset val="204"/>
      </rPr>
      <t>Уп.-100 шт.</t>
    </r>
  </si>
  <si>
    <r>
      <rPr>
        <b/>
        <sz val="10"/>
        <rFont val="Arial"/>
        <family val="2"/>
        <charset val="204"/>
      </rPr>
      <t>Нож</t>
    </r>
    <r>
      <rPr>
        <sz val="10"/>
        <rFont val="Arial"/>
        <family val="2"/>
        <charset val="204"/>
      </rPr>
      <t xml:space="preserve"> (компакт) белый в пленке цв., </t>
    </r>
    <r>
      <rPr>
        <b/>
        <sz val="10"/>
        <rFont val="Arial"/>
        <family val="2"/>
        <charset val="204"/>
      </rPr>
      <t>Уп.-100 шт.</t>
    </r>
    <r>
      <rPr>
        <sz val="10"/>
        <rFont val="Arial"/>
        <family val="2"/>
        <charset val="204"/>
      </rPr>
      <t xml:space="preserve"> РФ</t>
    </r>
  </si>
  <si>
    <r>
      <rPr>
        <b/>
        <sz val="10"/>
        <rFont val="Arial"/>
        <family val="2"/>
        <charset val="204"/>
      </rPr>
      <t>Размешиватель</t>
    </r>
    <r>
      <rPr>
        <sz val="10"/>
        <rFont val="Arial"/>
        <family val="2"/>
        <charset val="204"/>
      </rPr>
      <t xml:space="preserve"> 130 мм, бел, ПС </t>
    </r>
    <r>
      <rPr>
        <b/>
        <sz val="10"/>
        <rFont val="Arial"/>
        <family val="2"/>
        <charset val="204"/>
      </rPr>
      <t>Уп.-500 шт.</t>
    </r>
  </si>
  <si>
    <r>
      <rPr>
        <b/>
        <sz val="10"/>
        <rFont val="Arial"/>
        <family val="2"/>
        <charset val="204"/>
      </rPr>
      <t>Тарелка</t>
    </r>
    <r>
      <rPr>
        <sz val="10"/>
        <rFont val="Arial"/>
        <family val="2"/>
        <charset val="204"/>
      </rPr>
      <t xml:space="preserve"> d=205 А белая, РФ </t>
    </r>
    <r>
      <rPr>
        <b/>
        <sz val="10"/>
        <rFont val="Arial"/>
        <family val="2"/>
        <charset val="204"/>
      </rPr>
      <t>Уп.-100 шт.</t>
    </r>
  </si>
  <si>
    <t>Стакан 300 мл. прозрачный ПЭТ шейкер (К1000,Ф50), РФ</t>
  </si>
  <si>
    <r>
      <t xml:space="preserve">Крышка 90 мм д\хол. гор напитков. Бел/Черн </t>
    </r>
    <r>
      <rPr>
        <b/>
        <sz val="10"/>
        <rFont val="Arial"/>
        <family val="2"/>
        <charset val="204"/>
      </rPr>
      <t>Уп.-100 шт.</t>
    </r>
  </si>
  <si>
    <r>
      <rPr>
        <b/>
        <sz val="10"/>
        <rFont val="Arial"/>
        <family val="2"/>
        <charset val="204"/>
      </rPr>
      <t>Крышка</t>
    </r>
    <r>
      <rPr>
        <sz val="10"/>
        <rFont val="Arial"/>
        <family val="2"/>
        <charset val="204"/>
      </rPr>
      <t xml:space="preserve"> 80 мм д\хол. гор. напитков. Бел/Черн </t>
    </r>
    <r>
      <rPr>
        <b/>
        <sz val="10"/>
        <rFont val="Arial"/>
        <family val="2"/>
        <charset val="204"/>
      </rPr>
      <t>Уп.-100 шт.</t>
    </r>
  </si>
  <si>
    <t>Стакан 350 мл д\гор. напитков Take away Уп-50 Цена за тыс</t>
  </si>
  <si>
    <t>Стакан 250 мл д\гор. напитков Take away Уп-50 Цена за тыс</t>
  </si>
  <si>
    <r>
      <t xml:space="preserve">Стакан пивной 500 мл прозрачный эконом </t>
    </r>
    <r>
      <rPr>
        <b/>
        <sz val="10"/>
        <rFont val="Arial"/>
        <family val="2"/>
        <charset val="204"/>
      </rPr>
      <t>Уп.-50 шт.</t>
    </r>
  </si>
  <si>
    <r>
      <t xml:space="preserve">Ланч-бокс 3-ех секционный в пленке. </t>
    </r>
    <r>
      <rPr>
        <b/>
        <sz val="10"/>
        <rFont val="Arial"/>
        <family val="2"/>
        <charset val="204"/>
      </rPr>
      <t>Уп-100 шт</t>
    </r>
  </si>
  <si>
    <r>
      <t xml:space="preserve">Соус-ца 80мл, H35мм, 71 мм верх, 35 низ, прозр </t>
    </r>
    <r>
      <rPr>
        <b/>
        <sz val="10"/>
        <rFont val="Arial"/>
        <family val="2"/>
        <charset val="204"/>
      </rPr>
      <t xml:space="preserve">Уп- 80шт </t>
    </r>
  </si>
  <si>
    <r>
      <rPr>
        <b/>
        <sz val="10"/>
        <rFont val="Arial"/>
        <family val="2"/>
        <charset val="204"/>
      </rPr>
      <t>Палочки</t>
    </r>
    <r>
      <rPr>
        <sz val="10"/>
        <rFont val="Arial"/>
        <family val="2"/>
        <charset val="204"/>
      </rPr>
      <t xml:space="preserve"> для еды 20 см в инд. ПП </t>
    </r>
    <r>
      <rPr>
        <b/>
        <sz val="10"/>
        <rFont val="Arial"/>
        <family val="2"/>
        <charset val="204"/>
      </rPr>
      <t>Уп-100 ш</t>
    </r>
    <r>
      <rPr>
        <sz val="10"/>
        <rFont val="Arial"/>
        <family val="2"/>
        <charset val="204"/>
      </rPr>
      <t>т, 401-531</t>
    </r>
  </si>
  <si>
    <r>
      <t xml:space="preserve">Контейнер 108*82 мм, 250 мл., РФ (Салатница) </t>
    </r>
    <r>
      <rPr>
        <b/>
        <sz val="10"/>
        <rFont val="Arial"/>
        <family val="2"/>
        <charset val="204"/>
      </rPr>
      <t>Уп - 100 шт.</t>
    </r>
  </si>
  <si>
    <r>
      <t xml:space="preserve">Контейнер 108*82 мм, 500 мл., РФ (Салатница)  </t>
    </r>
    <r>
      <rPr>
        <b/>
        <sz val="10"/>
        <rFont val="Arial"/>
        <family val="2"/>
        <charset val="204"/>
      </rPr>
      <t>Уп - 100 шт.</t>
    </r>
  </si>
  <si>
    <r>
      <t xml:space="preserve">Крышка для контейнера 108 мм, РФ(Салатница)  </t>
    </r>
    <r>
      <rPr>
        <b/>
        <sz val="10"/>
        <rFont val="Arial"/>
        <family val="2"/>
        <charset val="204"/>
      </rPr>
      <t>Уп - 100 шт</t>
    </r>
    <r>
      <rPr>
        <sz val="10"/>
        <rFont val="Arial"/>
        <family val="2"/>
        <charset val="204"/>
      </rPr>
      <t>.</t>
    </r>
  </si>
  <si>
    <t>Чековая лента термочувствительная 57*12*25</t>
  </si>
  <si>
    <t>Ведро 12 л. Комфорт MPG5521</t>
  </si>
  <si>
    <t>Совок для мусора с длинной ручкой</t>
  </si>
  <si>
    <t>Совок с длинной ручкой 80 см. MPG1307</t>
  </si>
  <si>
    <r>
      <rPr>
        <b/>
        <sz val="10"/>
        <rFont val="Arial"/>
        <family val="2"/>
        <charset val="204"/>
      </rPr>
      <t xml:space="preserve">Щетка автомобильная </t>
    </r>
    <r>
      <rPr>
        <sz val="10"/>
        <rFont val="Arial"/>
        <family val="2"/>
        <charset val="204"/>
      </rPr>
      <t xml:space="preserve">со скребком Люкс Мини </t>
    </r>
    <r>
      <rPr>
        <sz val="8"/>
        <rFont val="Arial"/>
        <family val="2"/>
        <charset val="204"/>
      </rPr>
      <t>MPG9615050</t>
    </r>
  </si>
  <si>
    <t xml:space="preserve">Пер-ки нитриловые черные 100 шт. M,L Sempbl2 </t>
  </si>
  <si>
    <t>Мешок д/мусора ПНД 35 л, 30 шт, 12 мкм. М.Extra 3530660</t>
  </si>
  <si>
    <r>
      <t xml:space="preserve">Пер-ки нитр-ые текстур Aviora High Risk 50 шт. </t>
    </r>
    <r>
      <rPr>
        <sz val="9"/>
        <rFont val="Arial"/>
        <family val="2"/>
        <charset val="204"/>
      </rPr>
      <t xml:space="preserve">M,L </t>
    </r>
    <r>
      <rPr>
        <sz val="10"/>
        <rFont val="Arial"/>
        <family val="2"/>
        <charset val="204"/>
      </rPr>
      <t>402-662</t>
    </r>
  </si>
  <si>
    <r>
      <t xml:space="preserve">Стакан бум-ый 300 мл. белый HB90-430 </t>
    </r>
    <r>
      <rPr>
        <b/>
        <sz val="10"/>
        <rFont val="Arial"/>
        <family val="2"/>
        <charset val="204"/>
      </rPr>
      <t>Уп-50 шт.</t>
    </r>
  </si>
  <si>
    <r>
      <rPr>
        <b/>
        <sz val="10"/>
        <rFont val="Arial"/>
        <family val="2"/>
        <charset val="204"/>
      </rPr>
      <t>Перчатки латексные</t>
    </r>
    <r>
      <rPr>
        <sz val="10"/>
        <rFont val="Arial"/>
        <family val="2"/>
        <charset val="204"/>
      </rPr>
      <t>,нестер., опудр. Aviora 100шт 402-671</t>
    </r>
  </si>
  <si>
    <t xml:space="preserve">Смазка универсальная WD-40, 400 мл. </t>
  </si>
  <si>
    <r>
      <t xml:space="preserve">Пер-ки вин-ые черн. неопуд. Aviora 100 шт. </t>
    </r>
    <r>
      <rPr>
        <sz val="8"/>
        <rFont val="Arial"/>
        <family val="2"/>
        <charset val="204"/>
      </rPr>
      <t xml:space="preserve">S,M,L,XL </t>
    </r>
    <r>
      <rPr>
        <sz val="10"/>
        <rFont val="Arial"/>
        <family val="2"/>
        <charset val="204"/>
      </rPr>
      <t>402-736</t>
    </r>
  </si>
  <si>
    <r>
      <rPr>
        <b/>
        <sz val="10"/>
        <rFont val="Arial"/>
        <family val="2"/>
        <charset val="204"/>
      </rPr>
      <t>Маска</t>
    </r>
    <r>
      <rPr>
        <sz val="10"/>
        <rFont val="Arial"/>
        <family val="2"/>
        <charset val="204"/>
      </rPr>
      <t xml:space="preserve"> трёхслойная 50 шт 402-732</t>
    </r>
  </si>
  <si>
    <t>Резиновые колечки 100 гр, 60 мм. Тайланд</t>
  </si>
  <si>
    <t>Анасепт . д/поверхностей, обработка оборудования 1 л.</t>
  </si>
  <si>
    <t>ДезОР  для рук и кожных покровов 1 л.</t>
  </si>
  <si>
    <t>Септаль 1 л.</t>
  </si>
  <si>
    <t>Инкрасепт 10А,  д/поверхностей, д/обработки яиц 1 л.</t>
  </si>
  <si>
    <t>Славин д/поверхностей, обработка оборудования 1 л.</t>
  </si>
  <si>
    <r>
      <rPr>
        <b/>
        <sz val="10"/>
        <rFont val="Arial"/>
        <family val="2"/>
        <charset val="204"/>
      </rPr>
      <t>Пакеты Zip-Lock</t>
    </r>
    <r>
      <rPr>
        <sz val="10"/>
        <rFont val="Arial"/>
        <family val="2"/>
        <charset val="204"/>
      </rPr>
      <t xml:space="preserve"> ПВД 12 х 17см. Уп-100 шт.</t>
    </r>
  </si>
  <si>
    <r>
      <t xml:space="preserve">Метла сад-ая, телескоп.ручка 95см., щетка 31 см. </t>
    </r>
    <r>
      <rPr>
        <sz val="9"/>
        <rFont val="Arial"/>
        <family val="2"/>
        <charset val="204"/>
      </rPr>
      <t>KDBO3PA</t>
    </r>
  </si>
  <si>
    <r>
      <rPr>
        <b/>
        <sz val="10"/>
        <rFont val="Arial"/>
        <family val="2"/>
        <charset val="204"/>
      </rPr>
      <t>Кондиционер для белья</t>
    </r>
    <r>
      <rPr>
        <sz val="10"/>
        <rFont val="Arial"/>
        <family val="2"/>
        <charset val="204"/>
      </rPr>
      <t xml:space="preserve"> концентрат Lenor 930 мл.</t>
    </r>
  </si>
  <si>
    <r>
      <t xml:space="preserve">Освеж. воздуха автомат с смен. балоном AIR Wick, </t>
    </r>
    <r>
      <rPr>
        <sz val="9"/>
        <rFont val="Arial"/>
        <family val="2"/>
        <charset val="204"/>
      </rPr>
      <t>250 мл</t>
    </r>
  </si>
  <si>
    <t>Сменный флакон к автомат. освежителю Glade, 269 мл</t>
  </si>
  <si>
    <r>
      <rPr>
        <b/>
        <sz val="10"/>
        <rFont val="Arial"/>
        <family val="2"/>
        <charset val="204"/>
      </rPr>
      <t>Освеж. воздуха</t>
    </r>
    <r>
      <rPr>
        <sz val="10"/>
        <rFont val="Arial"/>
        <family val="2"/>
        <charset val="204"/>
      </rPr>
      <t xml:space="preserve"> автомат с смен. балоном Glade, 269 мл</t>
    </r>
  </si>
  <si>
    <t>Ополаскиватель для посудомоечных машин Reinex 1 л.</t>
  </si>
  <si>
    <t>Пер-ки нитриловые текстур-ые  Benovy 200шт. M,L 
MMNFTВ003</t>
  </si>
  <si>
    <r>
      <rPr>
        <b/>
        <sz val="10"/>
        <rFont val="Arial"/>
        <family val="2"/>
        <charset val="204"/>
      </rPr>
      <t xml:space="preserve">Контейнер супница </t>
    </r>
    <r>
      <rPr>
        <sz val="10"/>
        <rFont val="Arial"/>
        <family val="2"/>
        <charset val="204"/>
      </rPr>
      <t xml:space="preserve">ПК500МПСВ </t>
    </r>
    <r>
      <rPr>
        <b/>
        <sz val="10"/>
        <rFont val="Arial"/>
        <family val="2"/>
        <charset val="204"/>
      </rPr>
      <t>Уп - 25 шт</t>
    </r>
  </si>
  <si>
    <t>Полотенца бум. V-сл. Мякишко серое 1 сл. 30г/м  200 л</t>
  </si>
  <si>
    <t xml:space="preserve">Полотенца цел-ое V-сл Мякишко, 1 сл, 23*23 см, 33 г/м  </t>
  </si>
  <si>
    <t>Бумага туалетная д/дисп. Мякишко целлюлоза 150 м</t>
  </si>
  <si>
    <t>Бумага туалетная  д/диспенсеров Мякишко Мини на втулке</t>
  </si>
  <si>
    <r>
      <rPr>
        <b/>
        <sz val="10"/>
        <rFont val="Arial"/>
        <family val="2"/>
        <charset val="204"/>
      </rPr>
      <t>Бумага туалетная</t>
    </r>
    <r>
      <rPr>
        <sz val="10"/>
        <rFont val="Arial"/>
        <family val="2"/>
        <charset val="204"/>
      </rPr>
      <t xml:space="preserve">  Focus Economic, 2-слойная, 8 рул.</t>
    </r>
  </si>
  <si>
    <t xml:space="preserve">Бумага туалетная д/дисп. Focus JUMBO Eko 200 м. </t>
  </si>
  <si>
    <t xml:space="preserve">Скраб металлический 18 гр, З шт/уп,  арт-СП183 </t>
  </si>
  <si>
    <r>
      <t xml:space="preserve">Мешок д/мусора 35 л, </t>
    </r>
    <r>
      <rPr>
        <sz val="10"/>
        <rFont val="Arial"/>
        <family val="2"/>
        <charset val="204"/>
      </rPr>
      <t>50 шт Optimum PRO Service</t>
    </r>
  </si>
  <si>
    <r>
      <rPr>
        <b/>
        <sz val="10"/>
        <rFont val="Arial"/>
        <family val="2"/>
        <charset val="204"/>
      </rPr>
      <t xml:space="preserve">Пленка пищевая </t>
    </r>
    <r>
      <rPr>
        <sz val="10"/>
        <rFont val="Arial"/>
        <family val="2"/>
        <charset val="204"/>
      </rPr>
      <t xml:space="preserve">СПЭ руч., 10*450 КО ТУ РБ </t>
    </r>
  </si>
  <si>
    <r>
      <rPr>
        <b/>
        <sz val="10"/>
        <rFont val="Arial"/>
        <family val="2"/>
        <charset val="204"/>
      </rPr>
      <t xml:space="preserve">Ведро строительное </t>
    </r>
    <r>
      <rPr>
        <sz val="10"/>
        <rFont val="Arial"/>
        <family val="2"/>
        <charset val="204"/>
      </rPr>
      <t>14 л. MPG935149</t>
    </r>
  </si>
  <si>
    <t>Ведро строительное 16 л.MPG021148</t>
  </si>
  <si>
    <t xml:space="preserve">Стиральный порошок Tide Автомат3 кг </t>
  </si>
  <si>
    <r>
      <rPr>
        <b/>
        <sz val="10"/>
        <rFont val="Arial"/>
        <family val="2"/>
        <charset val="204"/>
      </rPr>
      <t>Гель против извест-го налета и ржав-ны</t>
    </r>
    <r>
      <rPr>
        <sz val="10"/>
        <rFont val="Arial"/>
        <family val="2"/>
        <charset val="204"/>
      </rPr>
      <t xml:space="preserve"> Чистоff 0,5л</t>
    </r>
  </si>
  <si>
    <t>Диспенсер для бум. полотенец V- cл. Violli арт.45710-5104</t>
  </si>
  <si>
    <r>
      <rPr>
        <b/>
        <sz val="10"/>
        <rFont val="Arial"/>
        <family val="2"/>
        <charset val="204"/>
      </rPr>
      <t>Диспенсер для бум.</t>
    </r>
    <r>
      <rPr>
        <sz val="10"/>
        <rFont val="Arial"/>
        <family val="2"/>
        <charset val="204"/>
      </rPr>
      <t xml:space="preserve"> полотенец Z, V- cл. Violli 45708-5102</t>
    </r>
  </si>
  <si>
    <t>Диспенсер для рул. туал.бум 31 см арт.45712-5106</t>
  </si>
  <si>
    <r>
      <rPr>
        <b/>
        <sz val="10"/>
        <rFont val="Arial"/>
        <family val="2"/>
        <charset val="204"/>
      </rPr>
      <t xml:space="preserve">Диспенсер для салфеток </t>
    </r>
    <r>
      <rPr>
        <sz val="10"/>
        <rFont val="Arial"/>
        <family val="2"/>
        <charset val="204"/>
      </rPr>
      <t>(европ. стандарт) арт.45801-5125</t>
    </r>
  </si>
  <si>
    <r>
      <rPr>
        <b/>
        <sz val="10"/>
        <rFont val="Arial"/>
        <family val="2"/>
        <charset val="204"/>
      </rPr>
      <t xml:space="preserve">Диспенсер сидений для унитаза </t>
    </r>
    <r>
      <rPr>
        <sz val="10"/>
        <rFont val="Arial"/>
        <family val="2"/>
        <charset val="204"/>
      </rPr>
      <t>арт.45800-5124</t>
    </r>
  </si>
  <si>
    <t>Дозатор для жидкого мыла Стандарт 1л. арт.45705-5099</t>
  </si>
  <si>
    <r>
      <rPr>
        <b/>
        <sz val="10"/>
        <rFont val="Arial"/>
        <family val="2"/>
        <charset val="204"/>
      </rPr>
      <t>Дозатор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для </t>
    </r>
    <r>
      <rPr>
        <sz val="10"/>
        <rFont val="Arial"/>
        <family val="2"/>
        <charset val="204"/>
      </rPr>
      <t>жидкого</t>
    </r>
    <r>
      <rPr>
        <b/>
        <sz val="10"/>
        <rFont val="Arial"/>
        <family val="2"/>
        <charset val="204"/>
      </rPr>
      <t xml:space="preserve"> мыла</t>
    </r>
    <r>
      <rPr>
        <sz val="10"/>
        <rFont val="Arial"/>
        <family val="2"/>
        <charset val="204"/>
      </rPr>
      <t xml:space="preserve"> обычный; ЛОКТЕВОЙ</t>
    </r>
  </si>
  <si>
    <t>Дозатор для жидкого мыла Стандарт 500 мл арт.45704-5098</t>
  </si>
  <si>
    <t>Дозатор для жидкого мыла локтевой 500 мл арт.45877-5177</t>
  </si>
  <si>
    <t>МОП микрофиб., шубка 50*15см, карман-ухо ГИ030/6-09</t>
  </si>
  <si>
    <t>МОП для сухой уборки Эконом 80 см (акрил) 45644-5036</t>
  </si>
  <si>
    <t>МОП микрофиб., карман 40 см арт.45633-5027</t>
  </si>
  <si>
    <t>МОП карман Премиум 40 см арт.45627-5021</t>
  </si>
  <si>
    <t>МОП веревочный Кентукки хлопок арт.45646-5038</t>
  </si>
  <si>
    <r>
      <rPr>
        <b/>
        <sz val="10"/>
        <rFont val="Arial"/>
        <family val="2"/>
        <charset val="204"/>
      </rPr>
      <t>МОП</t>
    </r>
    <r>
      <rPr>
        <sz val="10"/>
        <rFont val="Arial"/>
        <family val="2"/>
        <charset val="204"/>
      </rPr>
      <t xml:space="preserve"> карман Эконом хлопок/полиэстер 40 см 45619-5013</t>
    </r>
  </si>
  <si>
    <t>МОП карман Стандарт хлопок/полиэстер 40 см 45621-5015</t>
  </si>
  <si>
    <t>МОП универсальный Стандарт 40 см арт.45625-5019</t>
  </si>
  <si>
    <r>
      <rPr>
        <b/>
        <sz val="10"/>
        <rFont val="Arial"/>
        <family val="2"/>
        <charset val="204"/>
      </rPr>
      <t>Стяжка для пола</t>
    </r>
    <r>
      <rPr>
        <sz val="10"/>
        <rFont val="Arial"/>
        <family val="2"/>
        <charset val="204"/>
      </rPr>
      <t xml:space="preserve"> сталь 55 см, 45616-5085</t>
    </r>
  </si>
  <si>
    <t>Стяжка для пола сталь 75 см, 45617-5086</t>
  </si>
  <si>
    <r>
      <t>Держатель д/мопов Hunt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40 см, карман арт.44043-5228</t>
    </r>
  </si>
  <si>
    <t>Держатель д/мопов для сух.уборки Hunt 80 см,44045-5230</t>
  </si>
  <si>
    <r>
      <t xml:space="preserve">Держатель д/мопов </t>
    </r>
    <r>
      <rPr>
        <b/>
        <sz val="10"/>
        <rFont val="Arial"/>
        <family val="2"/>
        <charset val="204"/>
      </rPr>
      <t>магнитный</t>
    </r>
    <r>
      <rPr>
        <sz val="10"/>
        <rFont val="Arial"/>
        <family val="2"/>
        <charset val="204"/>
      </rPr>
      <t xml:space="preserve"> 40 см,карман арт.44042-5227</t>
    </r>
  </si>
  <si>
    <t>Держатель д/мопов Стандарт 50 см,карман арт.45612-5006</t>
  </si>
  <si>
    <r>
      <t>Держатель д/мопов Эконом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40 см, карман арт.45613-5007</t>
    </r>
  </si>
  <si>
    <t>Держатель д/мопов Эконом уши 40см арт.45608-5002</t>
  </si>
  <si>
    <r>
      <rPr>
        <b/>
        <sz val="10"/>
        <rFont val="Arial"/>
        <family val="2"/>
        <charset val="204"/>
      </rPr>
      <t>Держатель для шубки</t>
    </r>
    <r>
      <rPr>
        <sz val="10"/>
        <rFont val="Arial"/>
        <family val="2"/>
        <charset val="204"/>
      </rPr>
      <t xml:space="preserve"> 35 см, пластик арт.44052-5238</t>
    </r>
  </si>
  <si>
    <r>
      <t xml:space="preserve">Зажим </t>
    </r>
    <r>
      <rPr>
        <sz val="10"/>
        <rFont val="Arial"/>
        <family val="2"/>
        <charset val="204"/>
      </rPr>
      <t>для лезвия для чистки окон арт. 45698-5096</t>
    </r>
  </si>
  <si>
    <r>
      <t>Лезвие</t>
    </r>
    <r>
      <rPr>
        <sz val="10"/>
        <rFont val="Arial"/>
        <family val="2"/>
        <charset val="204"/>
      </rPr>
      <t xml:space="preserve"> для чистки окон арт. 45699-5097</t>
    </r>
  </si>
  <si>
    <r>
      <rPr>
        <b/>
        <sz val="10"/>
        <rFont val="Arial"/>
        <family val="2"/>
        <charset val="204"/>
      </rPr>
      <t>Скребок</t>
    </r>
    <r>
      <rPr>
        <sz val="10"/>
        <rFont val="Arial"/>
        <family val="2"/>
        <charset val="204"/>
      </rPr>
      <t xml:space="preserve"> Hunt для чистки пола 10 см арт.44054-5240 </t>
    </r>
  </si>
  <si>
    <r>
      <t>Лезвие</t>
    </r>
    <r>
      <rPr>
        <sz val="10"/>
        <rFont val="Arial"/>
        <family val="2"/>
        <charset val="204"/>
      </rPr>
      <t xml:space="preserve"> для чистки пола арт. 45700-5095</t>
    </r>
  </si>
  <si>
    <t>Держатель д/мопов для сух.уборки Hunt 60 см,44044-5229</t>
  </si>
  <si>
    <r>
      <rPr>
        <b/>
        <sz val="10"/>
        <rFont val="Arial"/>
        <family val="2"/>
        <charset val="204"/>
      </rPr>
      <t>Держатель д/мопов</t>
    </r>
    <r>
      <rPr>
        <sz val="10"/>
        <rFont val="Arial"/>
        <family val="2"/>
        <charset val="204"/>
      </rPr>
      <t xml:space="preserve"> Кентукки 18 см, арт.45615-5011</t>
    </r>
  </si>
  <si>
    <r>
      <t xml:space="preserve">Резина </t>
    </r>
    <r>
      <rPr>
        <sz val="10"/>
        <rFont val="Arial"/>
        <family val="2"/>
        <charset val="204"/>
      </rPr>
      <t>сменная для скребка</t>
    </r>
    <r>
      <rPr>
        <b/>
        <sz val="10"/>
        <rFont val="Arial"/>
        <family val="2"/>
        <charset val="204"/>
      </rPr>
      <t xml:space="preserve"> для окон</t>
    </r>
    <r>
      <rPr>
        <sz val="10"/>
        <rFont val="Arial"/>
        <family val="2"/>
        <charset val="204"/>
      </rPr>
      <t xml:space="preserve"> 35 см 45678-5072</t>
    </r>
  </si>
  <si>
    <r>
      <t xml:space="preserve">Скребок для стекл.пов. </t>
    </r>
    <r>
      <rPr>
        <sz val="10"/>
        <rFont val="Arial"/>
        <family val="2"/>
        <charset val="204"/>
      </rPr>
      <t>Премиум 35 см арт. 45669-5063</t>
    </r>
  </si>
  <si>
    <r>
      <rPr>
        <b/>
        <sz val="10"/>
        <rFont val="Arial"/>
        <family val="2"/>
        <charset val="204"/>
      </rPr>
      <t xml:space="preserve">Стяжка </t>
    </r>
    <r>
      <rPr>
        <sz val="10"/>
        <rFont val="Arial"/>
        <family val="2"/>
        <charset val="204"/>
      </rPr>
      <t>для окон 45 см, PCE523</t>
    </r>
  </si>
  <si>
    <t>Тележка для уборки(1ведро 25л +насадка для отжима)
 арт. 45648-5040 Турция</t>
  </si>
  <si>
    <t>Тележка для уборки Хром(1ведро 25л+насадка для отжима)
 арт. 45649-5041 Турция</t>
  </si>
  <si>
    <t>Тележка д/уборки Стандарт(2ведра по25л+насадка д/отжим)
 арт. 45652-5044 Турция</t>
  </si>
  <si>
    <t>Тележка для уборки(2ведра по 25л и10л+насадка д/отжима)
 арт. 45647-5039 Турция</t>
  </si>
  <si>
    <t>Тележка для уборки Хром(2ведра по25л+насадка д/отжима)
 арт. 45650-5042 Турция</t>
  </si>
  <si>
    <r>
      <rPr>
        <b/>
        <sz val="10"/>
        <rFont val="Arial"/>
        <family val="2"/>
        <charset val="204"/>
      </rPr>
      <t>Тележка д/уборки</t>
    </r>
    <r>
      <rPr>
        <sz val="10"/>
        <rFont val="Arial"/>
        <family val="2"/>
        <charset val="204"/>
      </rPr>
      <t xml:space="preserve"> ЭКО(</t>
    </r>
    <r>
      <rPr>
        <b/>
        <sz val="10"/>
        <rFont val="Arial"/>
        <family val="2"/>
        <charset val="204"/>
      </rPr>
      <t>2ведра</t>
    </r>
    <r>
      <rPr>
        <sz val="10"/>
        <rFont val="Arial"/>
        <family val="2"/>
        <charset val="204"/>
      </rPr>
      <t xml:space="preserve"> по 25л+насадка д/отжима)
 арт. 45654-5046 Турция</t>
    </r>
  </si>
  <si>
    <r>
      <t xml:space="preserve">Ручка для флаундеров </t>
    </r>
    <r>
      <rPr>
        <sz val="10"/>
        <rFont val="Arial"/>
        <family val="2"/>
        <charset val="204"/>
      </rPr>
      <t>алюм.1,4 м арт.45618-5102,Турция</t>
    </r>
  </si>
  <si>
    <r>
      <rPr>
        <b/>
        <sz val="10"/>
        <rFont val="Arial"/>
        <family val="2"/>
        <charset val="204"/>
      </rPr>
      <t>Ручка алюм.телескоп</t>
    </r>
    <r>
      <rPr>
        <sz val="10"/>
        <rFont val="Arial"/>
        <family val="2"/>
        <charset val="204"/>
      </rPr>
      <t xml:space="preserve">.Hunt </t>
    </r>
    <r>
      <rPr>
        <b/>
        <sz val="10"/>
        <rFont val="Arial"/>
        <family val="2"/>
        <charset val="204"/>
      </rPr>
      <t>д/мытья окон</t>
    </r>
    <r>
      <rPr>
        <sz val="10"/>
        <rFont val="Arial"/>
        <family val="2"/>
        <charset val="204"/>
      </rPr>
      <t xml:space="preserve"> 4.5м,44050-5236</t>
    </r>
  </si>
  <si>
    <t>Ручка алюм.телескоп.д/мытья окон 2-секц. 2м, 45691-5088</t>
  </si>
  <si>
    <t>Ручка алюм.телескоп.д/мытья окон 2-секц. 3м, 45692-5089</t>
  </si>
  <si>
    <t>Ручка алюм.телескоп.Hunt д/мытья окон 6м,арт. 44051-5237</t>
  </si>
  <si>
    <t>Мочалка из нержавеющей стали Спираль, 40 гр. арт.406-147</t>
  </si>
  <si>
    <t>Фольга пищ. Олимпия 29 см*10 м, 9 мкм, РФ</t>
  </si>
  <si>
    <t xml:space="preserve">Фольга пищ.Горница 29 см*80 м, 8 мкм, РФ 209-077 </t>
  </si>
  <si>
    <t>Фольга пищ.Горница 44 см*80 м, 8 мкм, РФ 209-078</t>
  </si>
  <si>
    <t xml:space="preserve">Фольга пищ.Горница 29 см*80 м, 11 мкм, РФ 209-033 </t>
  </si>
  <si>
    <t xml:space="preserve">Фольга пищ.Горница 29 см*100 м, 11 мкм, РФ 209-034 </t>
  </si>
  <si>
    <t>Фольга пищ.Горница 44см*100м,стандарт,8 мкм,РФ 209-076</t>
  </si>
  <si>
    <t xml:space="preserve">Фольга пищ.Горница 44см*100м,прочная,11 мкм,РФ 209-035 </t>
  </si>
  <si>
    <r>
      <rPr>
        <b/>
        <sz val="10"/>
        <rFont val="Arial"/>
        <family val="2"/>
        <charset val="204"/>
      </rPr>
      <t>Бум.д/выпек.</t>
    </r>
    <r>
      <rPr>
        <sz val="10"/>
        <rFont val="Arial"/>
        <family val="2"/>
        <charset val="204"/>
      </rPr>
      <t xml:space="preserve"> силикониз.кор.Горница 38см*100м РФ 209-055</t>
    </r>
  </si>
  <si>
    <r>
      <rPr>
        <b/>
        <sz val="10"/>
        <rFont val="Arial"/>
        <family val="2"/>
        <charset val="204"/>
      </rPr>
      <t>Бум.д/выпек.</t>
    </r>
    <r>
      <rPr>
        <sz val="10"/>
        <rFont val="Arial"/>
        <family val="2"/>
        <charset val="204"/>
      </rPr>
      <t xml:space="preserve"> силикониз.кор.Горница 38см*50м РФ 209-054</t>
    </r>
  </si>
  <si>
    <t>Пергамент силикониз.Горница бел.38*50 РФ 209-042</t>
  </si>
  <si>
    <t>Перчатки вин-ые неопудренные Aviora  L, XL</t>
  </si>
  <si>
    <t>Перчатки вин-ые неопудренные однораз.Aviora M 402-638</t>
  </si>
  <si>
    <t>Перчатки резиновые "5 звёзд" Aviora р.L  402-703</t>
  </si>
  <si>
    <t>Перчатки резиновые "5 звёзд" Aviora р.M  402-702</t>
  </si>
  <si>
    <t>Перчатки резиновые "5 звёзд" Aviora р.XL  402-704</t>
  </si>
  <si>
    <t>Перчатки хоз.резин. Aviora р.L  402-568</t>
  </si>
  <si>
    <r>
      <rPr>
        <b/>
        <sz val="10"/>
        <rFont val="Arial"/>
        <family val="2"/>
        <charset val="204"/>
      </rPr>
      <t>Нарукавники</t>
    </r>
    <r>
      <rPr>
        <sz val="10"/>
        <rFont val="Arial"/>
        <family val="2"/>
        <charset val="204"/>
      </rPr>
      <t xml:space="preserve"> полиэтиленовые 100 шт 402-695</t>
    </r>
  </si>
  <si>
    <r>
      <rPr>
        <b/>
        <sz val="10"/>
        <rFont val="Arial"/>
        <family val="2"/>
        <charset val="204"/>
      </rPr>
      <t>Фартук</t>
    </r>
    <r>
      <rPr>
        <sz val="10"/>
        <rFont val="Arial"/>
        <family val="2"/>
        <charset val="204"/>
      </rPr>
      <t xml:space="preserve"> полиэтилен 70х110 Aviora белый 100 шт. 402-692</t>
    </r>
  </si>
  <si>
    <t>Зубочистки бамбуковые в баночке по 100шт 401-485</t>
  </si>
  <si>
    <t>Зубочистки индивидуальные в бум. 500 шт. Aviora 401-486</t>
  </si>
  <si>
    <t>Палочки д/суши,23см,бамбук,100шт.в инд.ПП упак.401-514</t>
  </si>
  <si>
    <t>Палочки д/суши,23см,бамбук,100шт.в инд.бум.упак.401-53</t>
  </si>
  <si>
    <t>Салфетка ажурн.бум.14 см, 250 шт.Горница РФ арт.104-053</t>
  </si>
  <si>
    <t>Салфетка ажурн.бум.24 см, 250 шт.Горница РФ арт.104-058</t>
  </si>
  <si>
    <t>Салфетка ажурн.бум.28 см, 250 шт.Горница РФ арт.104-060</t>
  </si>
  <si>
    <t>Трубочки прямые, цветные 8*240 мм. по 250 шт. Горница</t>
  </si>
  <si>
    <r>
      <rPr>
        <b/>
        <sz val="10"/>
        <rFont val="Arial"/>
        <family val="2"/>
        <charset val="204"/>
      </rPr>
      <t>Пика</t>
    </r>
    <r>
      <rPr>
        <sz val="10"/>
        <rFont val="Arial"/>
        <family val="2"/>
        <charset val="204"/>
      </rPr>
      <t xml:space="preserve"> Завитки 100 шт 90 мм Aviora 401-463</t>
    </r>
  </si>
  <si>
    <r>
      <rPr>
        <b/>
        <sz val="10"/>
        <rFont val="Arial"/>
        <family val="2"/>
        <charset val="204"/>
      </rPr>
      <t>Пика</t>
    </r>
    <r>
      <rPr>
        <sz val="10"/>
        <rFont val="Arial"/>
        <family val="2"/>
        <charset val="204"/>
      </rPr>
      <t xml:space="preserve"> Зонтик 300 шт Aviora Россия 401-498</t>
    </r>
  </si>
  <si>
    <r>
      <rPr>
        <b/>
        <sz val="10"/>
        <rFont val="Arial"/>
        <family val="2"/>
        <charset val="204"/>
      </rPr>
      <t>Пика</t>
    </r>
    <r>
      <rPr>
        <sz val="10"/>
        <rFont val="Arial"/>
        <family val="2"/>
        <charset val="204"/>
      </rPr>
      <t xml:space="preserve"> Зонтик 100 шт Aviora Россия 401-846</t>
    </r>
  </si>
  <si>
    <t>Пленка пищевая Десногор 30 см*250 м,бел.5,5мк,арт.210-004</t>
  </si>
  <si>
    <r>
      <rPr>
        <b/>
        <sz val="10"/>
        <rFont val="Arial"/>
        <family val="2"/>
        <charset val="204"/>
      </rPr>
      <t>Мешки для мусора ПНД 30 л,</t>
    </r>
    <r>
      <rPr>
        <sz val="10"/>
        <rFont val="Arial"/>
        <family val="2"/>
        <charset val="204"/>
      </rPr>
      <t xml:space="preserve"> 50шт,6 мкм. </t>
    </r>
    <r>
      <rPr>
        <sz val="9"/>
        <rFont val="Arial"/>
        <family val="2"/>
        <charset val="204"/>
      </rPr>
      <t>MIRPACK 305040</t>
    </r>
  </si>
  <si>
    <r>
      <rPr>
        <b/>
        <sz val="10"/>
        <rFont val="Arial"/>
        <family val="2"/>
        <charset val="204"/>
      </rPr>
      <t>Мешки д/мусора ПНД 60л,</t>
    </r>
    <r>
      <rPr>
        <sz val="10"/>
        <rFont val="Arial"/>
        <family val="2"/>
        <charset val="204"/>
      </rPr>
      <t xml:space="preserve">20шт,6 мк. </t>
    </r>
    <r>
      <rPr>
        <sz val="9"/>
        <rFont val="Arial"/>
        <family val="2"/>
        <charset val="204"/>
      </rPr>
      <t>Mirpack Classik 602050</t>
    </r>
  </si>
  <si>
    <t xml:space="preserve">Лента д\ограждений 50мм бело-красн. неклейкая </t>
  </si>
  <si>
    <r>
      <rPr>
        <b/>
        <sz val="10"/>
        <rFont val="Arial"/>
        <family val="2"/>
        <charset val="204"/>
      </rPr>
      <t xml:space="preserve">Пакеты фасовочные  </t>
    </r>
    <r>
      <rPr>
        <sz val="10"/>
        <rFont val="Arial"/>
        <family val="2"/>
        <charset val="204"/>
      </rPr>
      <t xml:space="preserve">24*37 10 мкм 100 шт. РФ </t>
    </r>
  </si>
  <si>
    <t>Метла синтетическая с черенком 4 кольца</t>
  </si>
  <si>
    <r>
      <rPr>
        <b/>
        <sz val="10"/>
        <rFont val="Arial"/>
        <family val="2"/>
        <charset val="204"/>
      </rPr>
      <t>Хомут</t>
    </r>
    <r>
      <rPr>
        <sz val="10"/>
        <rFont val="Arial"/>
        <family val="2"/>
        <charset val="204"/>
      </rPr>
      <t xml:space="preserve"> 2,5*150 мм нейлон (белый)/100шт. </t>
    </r>
  </si>
  <si>
    <t>Скобы для степлера №10, 1000 шт., арт.598-001</t>
  </si>
  <si>
    <t>Линейка 20 см, пластиковая флюоресцентная, не прозрачная</t>
  </si>
  <si>
    <t>Ручка гелевая 0,5 мм, черная ,РФ</t>
  </si>
  <si>
    <t>Маркер перманентный, черный</t>
  </si>
  <si>
    <t>SILWERHOF Текстовыделитель 1-4мм, набор 4цв., 108031-00</t>
  </si>
  <si>
    <r>
      <rPr>
        <b/>
        <sz val="10"/>
        <rFont val="Arial"/>
        <family val="2"/>
        <charset val="204"/>
      </rPr>
      <t>Чехлы для одежды</t>
    </r>
    <r>
      <rPr>
        <sz val="10"/>
        <rFont val="Arial"/>
        <family val="2"/>
        <charset val="204"/>
      </rPr>
      <t xml:space="preserve"> KOMFI 5 шт,60*145 см,DCC002E,РФ</t>
    </r>
  </si>
  <si>
    <r>
      <rPr>
        <b/>
        <sz val="10"/>
        <rFont val="Arial"/>
        <family val="2"/>
        <charset val="204"/>
      </rPr>
      <t>Пакет вакуумный</t>
    </r>
    <r>
      <rPr>
        <sz val="10"/>
        <rFont val="Arial"/>
        <family val="2"/>
        <charset val="204"/>
      </rPr>
      <t xml:space="preserve"> 60*80 для хранения вещей, клапаны, застежка, слайдер, BP6080V, Китай</t>
    </r>
  </si>
  <si>
    <r>
      <rPr>
        <b/>
        <sz val="10"/>
        <rFont val="Arial"/>
        <family val="2"/>
        <charset val="204"/>
      </rPr>
      <t>Гриппер Пакет с защелк.</t>
    </r>
    <r>
      <rPr>
        <sz val="10"/>
        <rFont val="Arial"/>
        <family val="2"/>
        <charset val="204"/>
      </rPr>
      <t>120*170мм 100шт. EEZ009P,Китай</t>
    </r>
  </si>
  <si>
    <t>Насадка д/швабры Флеттер м/фибра махр.44*14см KFP024R</t>
  </si>
  <si>
    <t>Насадка д/швабр.Флеттер Люкс м/фибра44*15см KD-13F03R</t>
  </si>
  <si>
    <t>Шампур дер.(берез.)0,3*30см. 100 шт,Komfi, KWS208Е,Китай</t>
  </si>
  <si>
    <r>
      <rPr>
        <b/>
        <sz val="10"/>
        <rFont val="Arial"/>
        <family val="2"/>
        <charset val="204"/>
      </rPr>
      <t>Шампур дер.(берез.</t>
    </r>
    <r>
      <rPr>
        <sz val="10"/>
        <rFont val="Arial"/>
        <family val="2"/>
        <charset val="204"/>
      </rPr>
      <t>)0,3*20см 100 шт, KWS209E,Китай</t>
    </r>
  </si>
  <si>
    <r>
      <t xml:space="preserve">Размешиватель деревянный 14 см. </t>
    </r>
    <r>
      <rPr>
        <b/>
        <sz val="10"/>
        <rFont val="Arial"/>
        <family val="2"/>
        <charset val="204"/>
      </rPr>
      <t>Уп.-1000 шт.</t>
    </r>
  </si>
  <si>
    <r>
      <rPr>
        <b/>
        <sz val="10"/>
        <rFont val="Arial"/>
        <family val="2"/>
        <charset val="204"/>
      </rPr>
      <t>Крышка</t>
    </r>
    <r>
      <rPr>
        <sz val="10"/>
        <rFont val="Arial"/>
        <family val="2"/>
        <charset val="204"/>
      </rPr>
      <t xml:space="preserve"> купольная с отверстием 95 мм, </t>
    </r>
    <r>
      <rPr>
        <b/>
        <sz val="10"/>
        <rFont val="Arial"/>
        <family val="2"/>
        <charset val="204"/>
      </rPr>
      <t>Уп.-50 шт.</t>
    </r>
  </si>
  <si>
    <t>Ведро для мусора Хапс 15 л.</t>
  </si>
  <si>
    <t>Корзина для мусора Люкс 12 л. MPG961451</t>
  </si>
  <si>
    <t>Жидкое мыло туалетное  Any Day Gloss, 500 мл</t>
  </si>
  <si>
    <t>Жидкое мыло туалетное  Any Day Gloss, 5 л</t>
  </si>
  <si>
    <t>Ведро педальное для мусора 10 л.</t>
  </si>
  <si>
    <t>Лопата совковая песочная с черенком тип 2 Матик, арт М2.4</t>
  </si>
  <si>
    <r>
      <rPr>
        <b/>
        <sz val="10"/>
        <rFont val="Arial"/>
        <family val="2"/>
        <charset val="204"/>
      </rPr>
      <t>Рулетка</t>
    </r>
    <r>
      <rPr>
        <sz val="10"/>
        <rFont val="Arial"/>
        <family val="2"/>
        <charset val="204"/>
      </rPr>
      <t xml:space="preserve"> измер-ая 5м/19мм, жёлт.лента, пластм.корпус</t>
    </r>
  </si>
  <si>
    <r>
      <rPr>
        <b/>
        <sz val="10"/>
        <rFont val="Arial"/>
        <family val="2"/>
        <charset val="204"/>
      </rPr>
      <t>Бахилы</t>
    </r>
    <r>
      <rPr>
        <sz val="10"/>
        <rFont val="Arial"/>
        <family val="2"/>
        <charset val="204"/>
      </rPr>
      <t xml:space="preserve"> полиэтиленовые  эконом с 1 резинкой 100 шт.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</si>
</sst>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color theme="0"/>
      <name val="Arial"/>
      <family val="2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theme="0"/>
      <name val="Arial"/>
      <family val="2"/>
      <charset val="204"/>
    </font>
    <font>
      <b/>
      <i/>
      <sz val="13"/>
      <color theme="1" tint="4.9989318521683403E-2"/>
      <name val="Arial"/>
      <family val="2"/>
      <charset val="204"/>
    </font>
    <font>
      <b/>
      <i/>
      <sz val="13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4"/>
      <name val="Arial"/>
      <family val="2"/>
      <charset val="204"/>
    </font>
    <font>
      <sz val="11"/>
      <name val="Calibri"/>
      <family val="2"/>
      <charset val="204"/>
    </font>
    <font>
      <sz val="10"/>
      <color rgb="FF22222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9"/>
      <color indexed="9"/>
      <name val="Arial Cyr"/>
      <charset val="204"/>
    </font>
    <font>
      <sz val="9"/>
      <color indexed="9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0"/>
      <color rgb="FF222222"/>
      <name val="Arial"/>
      <family val="2"/>
      <charset val="204"/>
    </font>
    <font>
      <b/>
      <sz val="14"/>
      <color rgb="FFF8F8F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4FB8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ABA0A"/>
        <bgColor indexed="64"/>
      </patternFill>
    </fill>
    <fill>
      <patternFill patternType="solid">
        <fgColor rgb="FFEC751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0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left" vertical="center" wrapText="1"/>
    </xf>
    <xf numFmtId="2" fontId="12" fillId="0" borderId="5" xfId="1" applyNumberFormat="1" applyFont="1" applyFill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1" fontId="12" fillId="0" borderId="5" xfId="0" applyNumberFormat="1" applyFont="1" applyBorder="1" applyAlignment="1">
      <alignment horizontal="right" vertical="center"/>
    </xf>
    <xf numFmtId="1" fontId="13" fillId="3" borderId="5" xfId="0" applyNumberFormat="1" applyFont="1" applyFill="1" applyBorder="1" applyAlignment="1">
      <alignment horizontal="right" vertical="center"/>
    </xf>
    <xf numFmtId="1" fontId="12" fillId="0" borderId="5" xfId="0" applyNumberFormat="1" applyFont="1" applyFill="1" applyBorder="1" applyAlignment="1">
      <alignment horizontal="left" vertical="center"/>
    </xf>
    <xf numFmtId="2" fontId="12" fillId="0" borderId="5" xfId="0" applyNumberFormat="1" applyFont="1" applyFill="1" applyBorder="1" applyAlignment="1">
      <alignment horizontal="right" vertical="center"/>
    </xf>
    <xf numFmtId="1" fontId="12" fillId="0" borderId="5" xfId="0" applyNumberFormat="1" applyFont="1" applyBorder="1" applyAlignment="1">
      <alignment vertical="center"/>
    </xf>
    <xf numFmtId="1" fontId="12" fillId="0" borderId="3" xfId="0" applyNumberFormat="1" applyFont="1" applyFill="1" applyBorder="1" applyAlignment="1">
      <alignment horizontal="left" vertical="center"/>
    </xf>
    <xf numFmtId="2" fontId="12" fillId="0" borderId="3" xfId="1" applyNumberFormat="1" applyFont="1" applyFill="1" applyBorder="1" applyAlignment="1">
      <alignment vertical="center"/>
    </xf>
    <xf numFmtId="1" fontId="13" fillId="0" borderId="3" xfId="0" applyNumberFormat="1" applyFont="1" applyBorder="1" applyAlignment="1">
      <alignment horizontal="right" vertical="center"/>
    </xf>
    <xf numFmtId="1" fontId="13" fillId="3" borderId="3" xfId="0" applyNumberFormat="1" applyFont="1" applyFill="1" applyBorder="1" applyAlignment="1">
      <alignment horizontal="right" vertical="center"/>
    </xf>
    <xf numFmtId="2" fontId="12" fillId="0" borderId="3" xfId="0" applyNumberFormat="1" applyFont="1" applyFill="1" applyBorder="1" applyAlignment="1">
      <alignment horizontal="right" vertical="center"/>
    </xf>
    <xf numFmtId="1" fontId="12" fillId="0" borderId="3" xfId="0" applyNumberFormat="1" applyFont="1" applyBorder="1" applyAlignment="1">
      <alignment vertical="center"/>
    </xf>
    <xf numFmtId="2" fontId="12" fillId="0" borderId="5" xfId="0" applyNumberFormat="1" applyFont="1" applyFill="1" applyBorder="1" applyAlignment="1">
      <alignment vertical="center"/>
    </xf>
    <xf numFmtId="1" fontId="12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" fontId="12" fillId="0" borderId="3" xfId="0" applyNumberFormat="1" applyFont="1" applyFill="1" applyBorder="1" applyAlignment="1">
      <alignment vertical="center"/>
    </xf>
    <xf numFmtId="2" fontId="12" fillId="0" borderId="5" xfId="1" applyNumberFormat="1" applyFont="1" applyBorder="1" applyAlignment="1">
      <alignment vertical="center"/>
    </xf>
    <xf numFmtId="1" fontId="12" fillId="0" borderId="3" xfId="1" applyNumberFormat="1" applyFont="1" applyBorder="1" applyAlignment="1">
      <alignment vertical="center"/>
    </xf>
    <xf numFmtId="1" fontId="12" fillId="0" borderId="3" xfId="0" applyNumberFormat="1" applyFont="1" applyFill="1" applyBorder="1" applyAlignment="1">
      <alignment horizontal="left" vertical="center" wrapText="1"/>
    </xf>
    <xf numFmtId="1" fontId="13" fillId="3" borderId="3" xfId="0" applyNumberFormat="1" applyFont="1" applyFill="1" applyBorder="1" applyAlignment="1">
      <alignment horizontal="center" vertical="center" shrinkToFit="1"/>
    </xf>
    <xf numFmtId="1" fontId="12" fillId="0" borderId="3" xfId="1" applyNumberFormat="1" applyFont="1" applyBorder="1" applyAlignment="1">
      <alignment horizontal="right" vertical="center"/>
    </xf>
    <xf numFmtId="1" fontId="13" fillId="3" borderId="3" xfId="1" applyNumberFormat="1" applyFont="1" applyFill="1" applyBorder="1" applyAlignment="1">
      <alignment horizontal="right" vertical="center"/>
    </xf>
    <xf numFmtId="0" fontId="12" fillId="0" borderId="3" xfId="1" applyFont="1" applyBorder="1" applyAlignment="1">
      <alignment vertical="center"/>
    </xf>
    <xf numFmtId="1" fontId="12" fillId="0" borderId="3" xfId="1" applyNumberFormat="1" applyFont="1" applyFill="1" applyBorder="1" applyAlignment="1">
      <alignment horizontal="right" vertical="center"/>
    </xf>
    <xf numFmtId="1" fontId="12" fillId="0" borderId="3" xfId="0" applyNumberFormat="1" applyFont="1" applyFill="1" applyBorder="1" applyAlignment="1">
      <alignment horizontal="left" vertical="top" wrapText="1"/>
    </xf>
    <xf numFmtId="2" fontId="12" fillId="0" borderId="3" xfId="1" applyNumberFormat="1" applyFont="1" applyBorder="1" applyAlignment="1">
      <alignment vertical="center"/>
    </xf>
    <xf numFmtId="0" fontId="13" fillId="3" borderId="3" xfId="1" applyFont="1" applyFill="1" applyBorder="1" applyAlignment="1">
      <alignment vertical="center"/>
    </xf>
    <xf numFmtId="1" fontId="12" fillId="0" borderId="5" xfId="1" applyNumberFormat="1" applyFont="1" applyBorder="1" applyAlignment="1">
      <alignment horizontal="right" vertical="center"/>
    </xf>
    <xf numFmtId="1" fontId="13" fillId="3" borderId="5" xfId="1" applyNumberFormat="1" applyFont="1" applyFill="1" applyBorder="1" applyAlignment="1">
      <alignment horizontal="right" vertical="center"/>
    </xf>
    <xf numFmtId="1" fontId="12" fillId="0" borderId="6" xfId="0" applyNumberFormat="1" applyFont="1" applyFill="1" applyBorder="1" applyAlignment="1">
      <alignment horizontal="left" vertical="center"/>
    </xf>
    <xf numFmtId="2" fontId="12" fillId="0" borderId="6" xfId="0" applyNumberFormat="1" applyFont="1" applyFill="1" applyBorder="1" applyAlignment="1">
      <alignment horizontal="right" vertical="center"/>
    </xf>
    <xf numFmtId="2" fontId="12" fillId="0" borderId="3" xfId="0" applyNumberFormat="1" applyFont="1" applyFill="1" applyBorder="1" applyAlignment="1">
      <alignment vertical="center"/>
    </xf>
    <xf numFmtId="1" fontId="12" fillId="0" borderId="6" xfId="1" applyNumberFormat="1" applyFont="1" applyBorder="1" applyAlignment="1">
      <alignment horizontal="right" vertical="center"/>
    </xf>
    <xf numFmtId="1" fontId="13" fillId="3" borderId="1" xfId="1" applyNumberFormat="1" applyFont="1" applyFill="1" applyBorder="1" applyAlignment="1">
      <alignment horizontal="right" vertical="center"/>
    </xf>
    <xf numFmtId="1" fontId="15" fillId="3" borderId="0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vertical="center"/>
    </xf>
    <xf numFmtId="1" fontId="12" fillId="0" borderId="5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1" fontId="12" fillId="0" borderId="3" xfId="1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vertical="center" wrapText="1"/>
    </xf>
    <xf numFmtId="1" fontId="13" fillId="3" borderId="5" xfId="1" applyNumberFormat="1" applyFont="1" applyFill="1" applyBorder="1" applyAlignment="1">
      <alignment vertical="center"/>
    </xf>
    <xf numFmtId="1" fontId="12" fillId="0" borderId="5" xfId="1" applyNumberFormat="1" applyFont="1" applyFill="1" applyBorder="1" applyAlignment="1">
      <alignment vertical="center"/>
    </xf>
    <xf numFmtId="1" fontId="12" fillId="0" borderId="3" xfId="0" applyNumberFormat="1" applyFont="1" applyFill="1" applyBorder="1" applyAlignment="1">
      <alignment vertical="center" wrapText="1"/>
    </xf>
    <xf numFmtId="1" fontId="12" fillId="0" borderId="3" xfId="1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1" fontId="13" fillId="3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" fontId="7" fillId="0" borderId="3" xfId="0" applyNumberFormat="1" applyFont="1" applyFill="1" applyBorder="1" applyAlignment="1">
      <alignment horizontal="left" vertical="center"/>
    </xf>
    <xf numFmtId="1" fontId="13" fillId="3" borderId="6" xfId="1" applyNumberFormat="1" applyFont="1" applyFill="1" applyBorder="1" applyAlignment="1">
      <alignment horizontal="right" vertical="center"/>
    </xf>
    <xf numFmtId="1" fontId="12" fillId="0" borderId="3" xfId="1" applyNumberFormat="1" applyFont="1" applyFill="1" applyBorder="1" applyAlignment="1">
      <alignment vertical="center"/>
    </xf>
    <xf numFmtId="1" fontId="12" fillId="0" borderId="6" xfId="1" applyNumberFormat="1" applyFont="1" applyFill="1" applyBorder="1" applyAlignment="1">
      <alignment vertical="center"/>
    </xf>
    <xf numFmtId="2" fontId="12" fillId="0" borderId="6" xfId="1" applyNumberFormat="1" applyFont="1" applyFill="1" applyBorder="1" applyAlignment="1">
      <alignment vertical="center"/>
    </xf>
    <xf numFmtId="1" fontId="12" fillId="0" borderId="6" xfId="1" applyNumberFormat="1" applyFont="1" applyFill="1" applyBorder="1" applyAlignment="1">
      <alignment vertical="center" wrapText="1"/>
    </xf>
    <xf numFmtId="1" fontId="15" fillId="3" borderId="3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0" fontId="12" fillId="6" borderId="3" xfId="1" applyFont="1" applyFill="1" applyBorder="1" applyAlignment="1">
      <alignment vertical="center"/>
    </xf>
    <xf numFmtId="1" fontId="12" fillId="0" borderId="3" xfId="0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vertical="center"/>
    </xf>
    <xf numFmtId="1" fontId="13" fillId="3" borderId="7" xfId="0" applyNumberFormat="1" applyFont="1" applyFill="1" applyBorder="1" applyAlignment="1">
      <alignment horizontal="right" vertical="center"/>
    </xf>
    <xf numFmtId="1" fontId="13" fillId="3" borderId="8" xfId="0" applyNumberFormat="1" applyFont="1" applyFill="1" applyBorder="1" applyAlignment="1">
      <alignment horizontal="right" vertical="center"/>
    </xf>
    <xf numFmtId="2" fontId="12" fillId="0" borderId="9" xfId="0" applyNumberFormat="1" applyFont="1" applyFill="1" applyBorder="1" applyAlignment="1">
      <alignment vertical="center"/>
    </xf>
    <xf numFmtId="1" fontId="12" fillId="0" borderId="7" xfId="0" applyNumberFormat="1" applyFont="1" applyBorder="1" applyAlignment="1">
      <alignment horizontal="right" vertical="center"/>
    </xf>
    <xf numFmtId="1" fontId="13" fillId="3" borderId="7" xfId="1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left" vertical="center"/>
    </xf>
    <xf numFmtId="1" fontId="13" fillId="3" borderId="9" xfId="1" applyNumberFormat="1" applyFont="1" applyFill="1" applyBorder="1" applyAlignment="1">
      <alignment horizontal="right" vertical="center"/>
    </xf>
    <xf numFmtId="1" fontId="12" fillId="0" borderId="7" xfId="1" applyNumberFormat="1" applyFont="1" applyBorder="1" applyAlignment="1">
      <alignment horizontal="right" vertical="center"/>
    </xf>
    <xf numFmtId="1" fontId="12" fillId="0" borderId="9" xfId="1" applyNumberFormat="1" applyFont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1" fontId="13" fillId="3" borderId="0" xfId="1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vertical="center" wrapText="1"/>
    </xf>
    <xf numFmtId="1" fontId="13" fillId="3" borderId="9" xfId="0" applyNumberFormat="1" applyFont="1" applyFill="1" applyBorder="1" applyAlignment="1">
      <alignment horizontal="right" vertical="center"/>
    </xf>
    <xf numFmtId="0" fontId="18" fillId="0" borderId="6" xfId="0" applyFont="1" applyBorder="1" applyAlignment="1">
      <alignment vertical="center" wrapText="1"/>
    </xf>
    <xf numFmtId="1" fontId="12" fillId="0" borderId="6" xfId="1" applyNumberFormat="1" applyFont="1" applyBorder="1" applyAlignment="1">
      <alignment vertical="center"/>
    </xf>
    <xf numFmtId="2" fontId="12" fillId="0" borderId="11" xfId="0" applyNumberFormat="1" applyFont="1" applyFill="1" applyBorder="1" applyAlignment="1">
      <alignment horizontal="right" vertical="center"/>
    </xf>
    <xf numFmtId="1" fontId="12" fillId="0" borderId="5" xfId="1" applyNumberFormat="1" applyFont="1" applyBorder="1" applyAlignment="1">
      <alignment vertical="center"/>
    </xf>
    <xf numFmtId="2" fontId="12" fillId="0" borderId="9" xfId="0" applyNumberFormat="1" applyFont="1" applyFill="1" applyBorder="1" applyAlignment="1">
      <alignment horizontal="right" vertical="center"/>
    </xf>
    <xf numFmtId="1" fontId="12" fillId="0" borderId="9" xfId="0" applyNumberFormat="1" applyFont="1" applyBorder="1" applyAlignment="1">
      <alignment horizontal="right" vertical="center"/>
    </xf>
    <xf numFmtId="2" fontId="12" fillId="0" borderId="7" xfId="0" applyNumberFormat="1" applyFont="1" applyFill="1" applyBorder="1" applyAlignment="1">
      <alignment horizontal="right" vertical="center"/>
    </xf>
    <xf numFmtId="1" fontId="12" fillId="6" borderId="6" xfId="0" applyNumberFormat="1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right" vertical="center"/>
    </xf>
    <xf numFmtId="1" fontId="13" fillId="3" borderId="7" xfId="0" applyNumberFormat="1" applyFont="1" applyFill="1" applyBorder="1" applyAlignment="1">
      <alignment horizontal="right" vertical="center" shrinkToFit="1"/>
    </xf>
    <xf numFmtId="1" fontId="12" fillId="6" borderId="3" xfId="0" applyNumberFormat="1" applyFont="1" applyFill="1" applyBorder="1" applyAlignment="1">
      <alignment horizontal="left" vertical="center"/>
    </xf>
    <xf numFmtId="1" fontId="12" fillId="0" borderId="7" xfId="0" applyNumberFormat="1" applyFont="1" applyBorder="1" applyAlignment="1">
      <alignment horizontal="right" vertical="center" shrinkToFit="1"/>
    </xf>
    <xf numFmtId="1" fontId="12" fillId="0" borderId="13" xfId="0" applyNumberFormat="1" applyFont="1" applyBorder="1" applyAlignment="1">
      <alignment horizontal="right" vertical="center" shrinkToFit="1"/>
    </xf>
    <xf numFmtId="1" fontId="12" fillId="0" borderId="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2" fillId="0" borderId="3" xfId="0" applyFont="1" applyBorder="1" applyAlignment="1">
      <alignment horizontal="left" vertical="center"/>
    </xf>
    <xf numFmtId="1" fontId="12" fillId="6" borderId="3" xfId="0" applyNumberFormat="1" applyFont="1" applyFill="1" applyBorder="1" applyAlignment="1">
      <alignment horizontal="left" vertical="center" wrapText="1"/>
    </xf>
    <xf numFmtId="1" fontId="13" fillId="3" borderId="10" xfId="1" applyNumberFormat="1" applyFont="1" applyFill="1" applyBorder="1" applyAlignment="1">
      <alignment horizontal="right" vertical="center"/>
    </xf>
    <xf numFmtId="1" fontId="12" fillId="0" borderId="5" xfId="1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left" vertical="center" wrapText="1"/>
    </xf>
    <xf numFmtId="2" fontId="12" fillId="6" borderId="3" xfId="0" applyNumberFormat="1" applyFont="1" applyFill="1" applyBorder="1" applyAlignment="1">
      <alignment horizontal="right" vertical="center"/>
    </xf>
    <xf numFmtId="1" fontId="13" fillId="3" borderId="13" xfId="1" applyNumberFormat="1" applyFont="1" applyFill="1" applyBorder="1" applyAlignment="1">
      <alignment horizontal="right" vertical="center"/>
    </xf>
    <xf numFmtId="1" fontId="12" fillId="0" borderId="6" xfId="1" applyNumberFormat="1" applyFont="1" applyFill="1" applyBorder="1" applyAlignment="1">
      <alignment horizontal="right" vertical="center"/>
    </xf>
    <xf numFmtId="1" fontId="12" fillId="0" borderId="1" xfId="0" applyNumberFormat="1" applyFont="1" applyFill="1" applyBorder="1" applyAlignment="1">
      <alignment horizontal="left" vertical="center"/>
    </xf>
    <xf numFmtId="1" fontId="12" fillId="0" borderId="2" xfId="1" applyNumberFormat="1" applyFont="1" applyFill="1" applyBorder="1" applyAlignment="1">
      <alignment horizontal="right" vertical="center"/>
    </xf>
    <xf numFmtId="2" fontId="12" fillId="0" borderId="13" xfId="1" applyNumberFormat="1" applyFont="1" applyFill="1" applyBorder="1" applyAlignment="1">
      <alignment vertical="center"/>
    </xf>
    <xf numFmtId="1" fontId="12" fillId="0" borderId="13" xfId="1" applyNumberFormat="1" applyFont="1" applyFill="1" applyBorder="1" applyAlignment="1">
      <alignment horizontal="right" vertical="center"/>
    </xf>
    <xf numFmtId="1" fontId="13" fillId="3" borderId="14" xfId="1" applyNumberFormat="1" applyFont="1" applyFill="1" applyBorder="1" applyAlignment="1">
      <alignment horizontal="right" vertical="center"/>
    </xf>
    <xf numFmtId="1" fontId="12" fillId="0" borderId="3" xfId="0" applyNumberFormat="1" applyFont="1" applyBorder="1" applyAlignment="1">
      <alignment vertical="center" shrinkToFit="1"/>
    </xf>
    <xf numFmtId="1" fontId="12" fillId="0" borderId="7" xfId="1" applyNumberFormat="1" applyFont="1" applyFill="1" applyBorder="1" applyAlignment="1">
      <alignment horizontal="right" vertical="center"/>
    </xf>
    <xf numFmtId="0" fontId="13" fillId="3" borderId="6" xfId="1" applyFont="1" applyFill="1" applyBorder="1" applyAlignment="1">
      <alignment vertical="center"/>
    </xf>
    <xf numFmtId="0" fontId="2" fillId="3" borderId="3" xfId="1" applyFont="1" applyFill="1" applyBorder="1" applyAlignment="1">
      <alignment horizontal="center" vertical="center"/>
    </xf>
    <xf numFmtId="0" fontId="19" fillId="3" borderId="15" xfId="1" applyFont="1" applyFill="1" applyBorder="1" applyAlignment="1">
      <alignment horizontal="left" vertical="center" wrapText="1"/>
    </xf>
    <xf numFmtId="0" fontId="1" fillId="3" borderId="0" xfId="1" applyFill="1"/>
    <xf numFmtId="2" fontId="12" fillId="0" borderId="6" xfId="1" applyNumberFormat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3" xfId="1" applyFont="1" applyBorder="1" applyAlignment="1">
      <alignment horizontal="right" vertical="center"/>
    </xf>
    <xf numFmtId="2" fontId="12" fillId="6" borderId="3" xfId="1" applyNumberFormat="1" applyFont="1" applyFill="1" applyBorder="1" applyAlignment="1">
      <alignment vertical="center"/>
    </xf>
    <xf numFmtId="0" fontId="1" fillId="3" borderId="16" xfId="1" applyFill="1" applyBorder="1"/>
    <xf numFmtId="0" fontId="1" fillId="3" borderId="13" xfId="1" applyFill="1" applyBorder="1"/>
    <xf numFmtId="0" fontId="1" fillId="3" borderId="0" xfId="1" applyFill="1" applyBorder="1"/>
    <xf numFmtId="0" fontId="1" fillId="3" borderId="9" xfId="1" applyFill="1" applyBorder="1"/>
    <xf numFmtId="0" fontId="1" fillId="3" borderId="7" xfId="1" applyFill="1" applyBorder="1"/>
    <xf numFmtId="0" fontId="1" fillId="3" borderId="12" xfId="1" applyFill="1" applyBorder="1"/>
    <xf numFmtId="0" fontId="1" fillId="0" borderId="0" xfId="1"/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1" fillId="0" borderId="0" xfId="1" applyBorder="1"/>
    <xf numFmtId="0" fontId="13" fillId="0" borderId="0" xfId="0" applyFont="1" applyAlignment="1">
      <alignment shrinkToFit="1"/>
    </xf>
    <xf numFmtId="0" fontId="13" fillId="0" borderId="0" xfId="0" applyFont="1" applyBorder="1" applyAlignment="1">
      <alignment shrinkToFit="1"/>
    </xf>
    <xf numFmtId="0" fontId="23" fillId="0" borderId="0" xfId="1" applyFont="1" applyBorder="1" applyAlignment="1" applyProtection="1">
      <alignment vertical="center" wrapText="1"/>
      <protection locked="0" hidden="1"/>
    </xf>
    <xf numFmtId="0" fontId="24" fillId="0" borderId="0" xfId="1" applyFont="1" applyBorder="1" applyAlignment="1" applyProtection="1">
      <protection locked="0" hidden="1"/>
    </xf>
    <xf numFmtId="0" fontId="25" fillId="0" borderId="0" xfId="1" applyFont="1"/>
    <xf numFmtId="0" fontId="24" fillId="0" borderId="0" xfId="1" applyFont="1" applyBorder="1"/>
    <xf numFmtId="0" fontId="24" fillId="0" borderId="0" xfId="1" applyFont="1"/>
    <xf numFmtId="0" fontId="24" fillId="0" borderId="0" xfId="1" applyFont="1" applyBorder="1" applyAlignment="1">
      <alignment horizontal="right"/>
    </xf>
    <xf numFmtId="0" fontId="24" fillId="0" borderId="0" xfId="1" applyFont="1" applyFill="1" applyBorder="1"/>
    <xf numFmtId="0" fontId="26" fillId="0" borderId="0" xfId="0" applyFont="1" applyAlignment="1">
      <alignment shrinkToFit="1"/>
    </xf>
    <xf numFmtId="0" fontId="27" fillId="0" borderId="0" xfId="1" applyFont="1" applyBorder="1"/>
    <xf numFmtId="0" fontId="27" fillId="0" borderId="0" xfId="1" applyFont="1"/>
    <xf numFmtId="0" fontId="26" fillId="0" borderId="0" xfId="1" applyFont="1"/>
    <xf numFmtId="3" fontId="26" fillId="0" borderId="0" xfId="1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shrinkToFit="1"/>
    </xf>
    <xf numFmtId="0" fontId="26" fillId="0" borderId="0" xfId="1" applyFont="1" applyBorder="1"/>
    <xf numFmtId="0" fontId="25" fillId="0" borderId="0" xfId="1" applyFont="1" applyFill="1"/>
    <xf numFmtId="0" fontId="20" fillId="0" borderId="0" xfId="1" applyFont="1" applyFill="1"/>
    <xf numFmtId="0" fontId="1" fillId="3" borderId="17" xfId="1" applyFill="1" applyBorder="1"/>
    <xf numFmtId="0" fontId="17" fillId="0" borderId="3" xfId="0" applyFont="1" applyBorder="1" applyAlignment="1">
      <alignment vertical="center"/>
    </xf>
    <xf numFmtId="1" fontId="12" fillId="0" borderId="13" xfId="1" applyNumberFormat="1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center" vertical="center" wrapText="1"/>
    </xf>
    <xf numFmtId="0" fontId="12" fillId="0" borderId="7" xfId="1" applyFont="1" applyBorder="1" applyAlignment="1">
      <alignment vertical="center"/>
    </xf>
    <xf numFmtId="1" fontId="12" fillId="0" borderId="3" xfId="0" applyNumberFormat="1" applyFont="1" applyBorder="1" applyAlignment="1">
      <alignment horizontal="right" vertical="center" shrinkToFit="1"/>
    </xf>
    <xf numFmtId="0" fontId="3" fillId="3" borderId="4" xfId="1" applyFont="1" applyFill="1" applyBorder="1" applyAlignment="1">
      <alignment horizontal="center" vertical="center" wrapText="1"/>
    </xf>
    <xf numFmtId="0" fontId="0" fillId="3" borderId="0" xfId="0" applyFill="1"/>
    <xf numFmtId="1" fontId="7" fillId="0" borderId="3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8" fillId="8" borderId="5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distributed" wrapText="1"/>
    </xf>
    <xf numFmtId="0" fontId="29" fillId="8" borderId="0" xfId="1" applyFont="1" applyFill="1" applyBorder="1" applyAlignment="1">
      <alignment horizontal="center" vertical="center" wrapText="1"/>
    </xf>
    <xf numFmtId="0" fontId="29" fillId="8" borderId="22" xfId="1" applyFont="1" applyFill="1" applyBorder="1" applyAlignment="1">
      <alignment horizontal="center" vertical="center" wrapText="1"/>
    </xf>
    <xf numFmtId="1" fontId="12" fillId="0" borderId="13" xfId="1" applyNumberFormat="1" applyFont="1" applyFill="1" applyBorder="1" applyAlignment="1">
      <alignment vertical="center" wrapText="1"/>
    </xf>
    <xf numFmtId="1" fontId="12" fillId="0" borderId="10" xfId="1" applyNumberFormat="1" applyFont="1" applyFill="1" applyBorder="1" applyAlignment="1">
      <alignment horizontal="right" vertical="center"/>
    </xf>
    <xf numFmtId="2" fontId="12" fillId="0" borderId="9" xfId="1" applyNumberFormat="1" applyFont="1" applyFill="1" applyBorder="1" applyAlignment="1">
      <alignment vertical="center"/>
    </xf>
    <xf numFmtId="1" fontId="16" fillId="5" borderId="3" xfId="0" applyNumberFormat="1" applyFont="1" applyFill="1" applyBorder="1" applyAlignment="1">
      <alignment horizontal="center" vertical="center"/>
    </xf>
    <xf numFmtId="1" fontId="16" fillId="5" borderId="7" xfId="0" applyNumberFormat="1" applyFont="1" applyFill="1" applyBorder="1" applyAlignment="1">
      <alignment horizontal="center" vertical="center"/>
    </xf>
    <xf numFmtId="1" fontId="16" fillId="5" borderId="8" xfId="0" applyNumberFormat="1" applyFont="1" applyFill="1" applyBorder="1" applyAlignment="1">
      <alignment horizontal="center" vertical="center"/>
    </xf>
    <xf numFmtId="1" fontId="16" fillId="5" borderId="10" xfId="0" applyNumberFormat="1" applyFont="1" applyFill="1" applyBorder="1" applyAlignment="1">
      <alignment horizontal="center" vertical="center"/>
    </xf>
    <xf numFmtId="0" fontId="19" fillId="0" borderId="31" xfId="1" applyFont="1" applyBorder="1" applyAlignment="1">
      <alignment horizontal="left" vertical="top" wrapText="1"/>
    </xf>
    <xf numFmtId="0" fontId="19" fillId="0" borderId="17" xfId="1" applyFont="1" applyBorder="1" applyAlignment="1">
      <alignment horizontal="left" vertical="top" wrapText="1"/>
    </xf>
    <xf numFmtId="0" fontId="19" fillId="0" borderId="32" xfId="1" applyFont="1" applyBorder="1" applyAlignment="1">
      <alignment horizontal="left" vertical="top" wrapText="1"/>
    </xf>
    <xf numFmtId="0" fontId="19" fillId="0" borderId="19" xfId="1" applyFont="1" applyBorder="1" applyAlignment="1">
      <alignment horizontal="left" vertical="top" wrapText="1"/>
    </xf>
    <xf numFmtId="0" fontId="19" fillId="0" borderId="0" xfId="1" applyFont="1" applyBorder="1" applyAlignment="1">
      <alignment horizontal="left" vertical="top" wrapText="1"/>
    </xf>
    <xf numFmtId="0" fontId="19" fillId="0" borderId="18" xfId="1" applyFont="1" applyBorder="1" applyAlignment="1">
      <alignment horizontal="left" vertical="top" wrapText="1"/>
    </xf>
    <xf numFmtId="0" fontId="19" fillId="0" borderId="33" xfId="1" applyFont="1" applyBorder="1" applyAlignment="1">
      <alignment horizontal="left" vertical="top" wrapText="1"/>
    </xf>
    <xf numFmtId="0" fontId="19" fillId="0" borderId="12" xfId="1" applyFont="1" applyBorder="1" applyAlignment="1">
      <alignment horizontal="left" vertical="top" wrapText="1"/>
    </xf>
    <xf numFmtId="0" fontId="19" fillId="0" borderId="34" xfId="1" applyFont="1" applyBorder="1" applyAlignment="1">
      <alignment horizontal="left" vertical="top" wrapText="1"/>
    </xf>
    <xf numFmtId="0" fontId="20" fillId="0" borderId="24" xfId="1" applyFont="1" applyBorder="1" applyAlignment="1">
      <alignment horizontal="left" vertical="top" wrapText="1"/>
    </xf>
    <xf numFmtId="0" fontId="20" fillId="0" borderId="16" xfId="1" applyFont="1" applyBorder="1" applyAlignment="1">
      <alignment horizontal="left" vertical="top" wrapText="1"/>
    </xf>
    <xf numFmtId="0" fontId="20" fillId="0" borderId="25" xfId="1" applyFont="1" applyBorder="1" applyAlignment="1">
      <alignment horizontal="left" vertical="top" wrapText="1"/>
    </xf>
    <xf numFmtId="0" fontId="20" fillId="0" borderId="26" xfId="1" applyFont="1" applyBorder="1" applyAlignment="1">
      <alignment horizontal="left" vertical="top" wrapText="1"/>
    </xf>
    <xf numFmtId="0" fontId="20" fillId="0" borderId="20" xfId="1" applyFont="1" applyBorder="1" applyAlignment="1">
      <alignment horizontal="left" vertical="top" wrapText="1"/>
    </xf>
    <xf numFmtId="0" fontId="20" fillId="0" borderId="3" xfId="1" applyFont="1" applyBorder="1" applyAlignment="1">
      <alignment horizontal="left" vertical="top" wrapText="1"/>
    </xf>
    <xf numFmtId="0" fontId="20" fillId="0" borderId="7" xfId="1" applyFont="1" applyBorder="1" applyAlignment="1">
      <alignment horizontal="left" vertical="top" wrapText="1"/>
    </xf>
    <xf numFmtId="0" fontId="20" fillId="0" borderId="21" xfId="1" applyFont="1" applyBorder="1" applyAlignment="1">
      <alignment horizontal="left" vertical="top" wrapText="1"/>
    </xf>
    <xf numFmtId="0" fontId="20" fillId="0" borderId="27" xfId="1" applyFont="1" applyBorder="1" applyAlignment="1">
      <alignment horizontal="left" vertical="top" wrapText="1"/>
    </xf>
    <xf numFmtId="0" fontId="20" fillId="0" borderId="28" xfId="1" applyFont="1" applyBorder="1" applyAlignment="1">
      <alignment horizontal="left" vertical="top" wrapText="1"/>
    </xf>
    <xf numFmtId="0" fontId="20" fillId="0" borderId="29" xfId="1" applyFont="1" applyBorder="1" applyAlignment="1">
      <alignment horizontal="left" vertical="top" wrapText="1"/>
    </xf>
    <xf numFmtId="0" fontId="20" fillId="0" borderId="30" xfId="1" applyFont="1" applyBorder="1" applyAlignment="1">
      <alignment horizontal="left" vertical="top" wrapText="1"/>
    </xf>
    <xf numFmtId="0" fontId="2" fillId="4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1" fontId="16" fillId="5" borderId="3" xfId="1" applyNumberFormat="1" applyFont="1" applyFill="1" applyBorder="1" applyAlignment="1">
      <alignment horizontal="center" vertical="center"/>
    </xf>
    <xf numFmtId="0" fontId="4" fillId="8" borderId="15" xfId="1" applyFont="1" applyFill="1" applyBorder="1" applyAlignment="1">
      <alignment horizontal="center" vertical="center" wrapText="1"/>
    </xf>
    <xf numFmtId="0" fontId="5" fillId="8" borderId="15" xfId="1" applyFont="1" applyFill="1" applyBorder="1" applyAlignment="1">
      <alignment horizontal="center" vertical="center" wrapText="1"/>
    </xf>
    <xf numFmtId="0" fontId="29" fillId="8" borderId="2" xfId="1" applyFont="1" applyFill="1" applyBorder="1" applyAlignment="1">
      <alignment horizontal="center" vertical="center" wrapText="1"/>
    </xf>
    <xf numFmtId="0" fontId="29" fillId="8" borderId="0" xfId="1" applyFont="1" applyFill="1" applyBorder="1" applyAlignment="1">
      <alignment horizontal="center" vertical="center" wrapText="1"/>
    </xf>
  </cellXfs>
  <cellStyles count="3">
    <cellStyle name="Normal_pl150998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8FAD0"/>
      <color rgb="FFEC751C"/>
      <color rgb="FFF8F8F8"/>
      <color rgb="FFFF9933"/>
      <color rgb="FFEAEAEA"/>
      <color rgb="FF6ABA0A"/>
      <color rgb="FF4FB823"/>
      <color rgb="FF70AD47"/>
      <color rgb="FFCFB6E4"/>
      <color rgb="FFFBC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127287</xdr:colOff>
      <xdr:row>5</xdr:row>
      <xdr:rowOff>228601</xdr:rowOff>
    </xdr:from>
    <xdr:to>
      <xdr:col>6</xdr:col>
      <xdr:colOff>1717816</xdr:colOff>
      <xdr:row>5</xdr:row>
      <xdr:rowOff>800101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4537" y="1007919"/>
          <a:ext cx="301408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1"/>
  <sheetViews>
    <sheetView tabSelected="1" view="pageBreakPreview" topLeftCell="A289" zoomScaleSheetLayoutView="100" workbookViewId="0">
      <selection activeCell="G289" sqref="G1:G1048576"/>
    </sheetView>
  </sheetViews>
  <sheetFormatPr defaultRowHeight="15" x14ac:dyDescent="0.25"/>
  <cols>
    <col min="1" max="1" width="53.7109375" customWidth="1"/>
    <col min="2" max="2" width="7.85546875" customWidth="1"/>
    <col min="3" max="3" width="7.7109375" customWidth="1"/>
    <col min="4" max="4" width="8.140625" customWidth="1"/>
    <col min="5" max="5" width="5.28515625" customWidth="1"/>
    <col min="6" max="6" width="0.140625" customWidth="1"/>
    <col min="7" max="7" width="53.7109375" customWidth="1"/>
    <col min="8" max="9" width="7.85546875" customWidth="1"/>
    <col min="10" max="10" width="8.140625" customWidth="1"/>
    <col min="11" max="11" width="4.85546875" customWidth="1"/>
  </cols>
  <sheetData>
    <row r="1" spans="1:30" s="125" customFormat="1" ht="12.6" customHeight="1" x14ac:dyDescent="0.2">
      <c r="A1" s="190" t="s">
        <v>419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30" s="125" customFormat="1" ht="12.6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30" s="125" customFormat="1" ht="12.6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30" s="125" customFormat="1" ht="12.6" customHeight="1" x14ac:dyDescent="0.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30" s="125" customFormat="1" ht="12.6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30" s="125" customFormat="1" ht="66" customHeight="1" x14ac:dyDescent="0.2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1:30" s="146" customFormat="1" ht="34.5" customHeight="1" x14ac:dyDescent="0.2">
      <c r="A7" s="191" t="s">
        <v>400</v>
      </c>
      <c r="B7" s="192" t="s">
        <v>1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1:30" s="146" customFormat="1" ht="23.25" customHeight="1" x14ac:dyDescent="0.2">
      <c r="A8" s="196" t="s">
        <v>399</v>
      </c>
      <c r="B8" s="197" t="s">
        <v>1</v>
      </c>
      <c r="C8" s="197"/>
      <c r="D8" s="197"/>
      <c r="E8" s="197"/>
      <c r="F8" s="197"/>
      <c r="G8" s="197"/>
      <c r="H8" s="197"/>
      <c r="I8" s="197"/>
      <c r="J8" s="197"/>
      <c r="K8" s="197"/>
    </row>
    <row r="9" spans="1:30" s="125" customFormat="1" ht="39" customHeight="1" thickBot="1" x14ac:dyDescent="0.25">
      <c r="A9" s="1" t="s">
        <v>2</v>
      </c>
      <c r="B9" s="2" t="s">
        <v>3</v>
      </c>
      <c r="C9" s="150" t="s">
        <v>398</v>
      </c>
      <c r="D9" s="157" t="s">
        <v>396</v>
      </c>
      <c r="E9" s="158" t="s">
        <v>4</v>
      </c>
      <c r="F9" s="3"/>
      <c r="G9" s="1" t="s">
        <v>2</v>
      </c>
      <c r="H9" s="2" t="s">
        <v>3</v>
      </c>
      <c r="I9" s="150" t="s">
        <v>398</v>
      </c>
      <c r="J9" s="157" t="s">
        <v>397</v>
      </c>
      <c r="K9" s="159" t="s">
        <v>4</v>
      </c>
    </row>
    <row r="10" spans="1:30" s="125" customFormat="1" ht="23.1" customHeight="1" thickBot="1" x14ac:dyDescent="0.3">
      <c r="A10" s="193" t="s">
        <v>5</v>
      </c>
      <c r="B10" s="194"/>
      <c r="C10" s="194"/>
      <c r="D10" s="194"/>
      <c r="E10" s="194"/>
      <c r="F10" s="4"/>
      <c r="G10" s="194" t="s">
        <v>6</v>
      </c>
      <c r="H10" s="194"/>
      <c r="I10" s="194"/>
      <c r="J10" s="194"/>
      <c r="K10" s="194"/>
      <c r="L10" s="126"/>
      <c r="M10" s="126"/>
      <c r="N10" s="126"/>
      <c r="O10" s="127"/>
      <c r="P10" s="128"/>
    </row>
    <row r="11" spans="1:30" s="133" customFormat="1" ht="24.75" customHeight="1" x14ac:dyDescent="0.2">
      <c r="A11" s="5" t="s">
        <v>293</v>
      </c>
      <c r="B11" s="6">
        <v>2.1800000000000002</v>
      </c>
      <c r="C11" s="7">
        <f>B11-(B11/100*3.75)</f>
        <v>2.0982500000000002</v>
      </c>
      <c r="D11" s="7">
        <f>C11-(C11/100*3.9)</f>
        <v>2.0164182500000001</v>
      </c>
      <c r="E11" s="8">
        <v>150</v>
      </c>
      <c r="F11" s="9"/>
      <c r="G11" s="13" t="s">
        <v>212</v>
      </c>
      <c r="H11" s="62">
        <v>1.58</v>
      </c>
      <c r="I11" s="11">
        <f>H11-(H11/100*3)</f>
        <v>1.5326</v>
      </c>
      <c r="J11" s="11">
        <f>I11/125*119</f>
        <v>1.4590352</v>
      </c>
      <c r="K11" s="18"/>
      <c r="L11" s="129"/>
      <c r="M11" s="129"/>
      <c r="N11" s="129"/>
      <c r="O11" s="130"/>
      <c r="P11" s="131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</row>
    <row r="12" spans="1:30" s="133" customFormat="1" ht="13.5" customHeight="1" x14ac:dyDescent="0.2">
      <c r="A12" s="13" t="s">
        <v>7</v>
      </c>
      <c r="B12" s="14">
        <v>2.82</v>
      </c>
      <c r="C12" s="7">
        <f>B12-(B12/100*3.84)</f>
        <v>2.7117119999999999</v>
      </c>
      <c r="D12" s="7">
        <f>C12-(C12/100*4)</f>
        <v>2.6032435199999999</v>
      </c>
      <c r="E12" s="15" t="s">
        <v>8</v>
      </c>
      <c r="F12" s="16"/>
      <c r="G12" s="13" t="s">
        <v>232</v>
      </c>
      <c r="H12" s="17">
        <v>0.94</v>
      </c>
      <c r="I12" s="11">
        <f>H12-(H12/100*3.84)</f>
        <v>0.90390399999999993</v>
      </c>
      <c r="J12" s="11">
        <f>I12/125*119</f>
        <v>0.86051660799999996</v>
      </c>
      <c r="K12" s="24"/>
      <c r="L12" s="129"/>
      <c r="M12" s="129"/>
      <c r="N12" s="129"/>
      <c r="O12" s="130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</row>
    <row r="13" spans="1:30" s="133" customFormat="1" ht="14.25" customHeight="1" x14ac:dyDescent="0.2">
      <c r="A13" s="13" t="s">
        <v>169</v>
      </c>
      <c r="B13" s="14">
        <v>1.25</v>
      </c>
      <c r="C13" s="7">
        <f>B13-(B13/100*3.84)</f>
        <v>1.202</v>
      </c>
      <c r="D13" s="7">
        <f>C13-(C13/100*4)</f>
        <v>1.1539200000000001</v>
      </c>
      <c r="E13" s="20">
        <v>50</v>
      </c>
      <c r="F13" s="16"/>
      <c r="G13" s="13" t="s">
        <v>300</v>
      </c>
      <c r="H13" s="62">
        <v>1.85</v>
      </c>
      <c r="I13" s="11">
        <f>H13-(H13/100*3.84)</f>
        <v>1.7789600000000001</v>
      </c>
      <c r="J13" s="11">
        <f>I13/125*119.5</f>
        <v>1.70068576</v>
      </c>
      <c r="K13" s="18">
        <v>14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</row>
    <row r="14" spans="1:30" s="133" customFormat="1" ht="15" customHeight="1" x14ac:dyDescent="0.2">
      <c r="A14" s="13" t="s">
        <v>294</v>
      </c>
      <c r="B14" s="17">
        <v>0.65</v>
      </c>
      <c r="C14" s="7">
        <f>B14-(B14/100*10)</f>
        <v>0.58499999999999996</v>
      </c>
      <c r="D14" s="7">
        <f>B14-(B14/100*15)</f>
        <v>0.55249999999999999</v>
      </c>
      <c r="E14" s="20">
        <v>20</v>
      </c>
      <c r="F14" s="16"/>
      <c r="G14" s="13" t="s">
        <v>233</v>
      </c>
      <c r="H14" s="17">
        <v>3.59</v>
      </c>
      <c r="I14" s="11">
        <f>H14-(H14/100*4)</f>
        <v>3.4463999999999997</v>
      </c>
      <c r="J14" s="11">
        <f>I14/125*120</f>
        <v>3.3085439999999995</v>
      </c>
      <c r="K14" s="24"/>
      <c r="N14" s="134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</row>
    <row r="15" spans="1:30" s="133" customFormat="1" ht="15" customHeight="1" x14ac:dyDescent="0.2">
      <c r="A15" s="13" t="s">
        <v>9</v>
      </c>
      <c r="B15" s="17">
        <v>0.79</v>
      </c>
      <c r="C15" s="7">
        <f>B15-(B15/100*10)</f>
        <v>0.71100000000000008</v>
      </c>
      <c r="D15" s="7">
        <f>B15-(B15/100*19.5)</f>
        <v>0.63595000000000002</v>
      </c>
      <c r="E15" s="20">
        <v>20</v>
      </c>
      <c r="F15" s="16"/>
      <c r="G15" s="13" t="s">
        <v>229</v>
      </c>
      <c r="H15" s="17">
        <v>0.96</v>
      </c>
      <c r="I15" s="11">
        <f>H15-(H15/100*3)</f>
        <v>0.93119999999999992</v>
      </c>
      <c r="J15" s="11">
        <f>I15/125*120</f>
        <v>0.89395199999999986</v>
      </c>
      <c r="K15" s="18"/>
      <c r="N15" s="134"/>
      <c r="O15" s="134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</row>
    <row r="16" spans="1:30" s="133" customFormat="1" ht="15" customHeight="1" x14ac:dyDescent="0.2">
      <c r="A16" s="13" t="s">
        <v>10</v>
      </c>
      <c r="B16" s="17">
        <v>0.9</v>
      </c>
      <c r="C16" s="7">
        <f t="shared" ref="C16:C28" si="0">B16-(B16/100*15)</f>
        <v>0.76500000000000001</v>
      </c>
      <c r="D16" s="7">
        <f t="shared" ref="D16:D28" si="1">B16-(B16/100*20)</f>
        <v>0.72</v>
      </c>
      <c r="E16" s="20">
        <v>20</v>
      </c>
      <c r="F16" s="16"/>
      <c r="G16" s="13" t="s">
        <v>230</v>
      </c>
      <c r="H16" s="17">
        <v>3.12</v>
      </c>
      <c r="I16" s="11">
        <f t="shared" ref="I16:I24" si="2">H16-(H16/100*3.84)</f>
        <v>3.0001920000000002</v>
      </c>
      <c r="J16" s="11">
        <f>I16/125*120</f>
        <v>2.8801843200000001</v>
      </c>
      <c r="K16" s="18"/>
      <c r="N16" s="134"/>
      <c r="O16" s="134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</row>
    <row r="17" spans="1:30" s="133" customFormat="1" ht="15.75" customHeight="1" x14ac:dyDescent="0.2">
      <c r="A17" s="13" t="s">
        <v>11</v>
      </c>
      <c r="B17" s="17">
        <v>1.28</v>
      </c>
      <c r="C17" s="7">
        <f t="shared" si="0"/>
        <v>1.0880000000000001</v>
      </c>
      <c r="D17" s="7">
        <f t="shared" si="1"/>
        <v>1.024</v>
      </c>
      <c r="E17" s="20">
        <v>20</v>
      </c>
      <c r="F17" s="16"/>
      <c r="G17" s="13" t="s">
        <v>366</v>
      </c>
      <c r="H17" s="17">
        <v>2.72</v>
      </c>
      <c r="I17" s="11">
        <f>H17-(H17/100*4)</f>
        <v>2.6112000000000002</v>
      </c>
      <c r="J17" s="11">
        <f>I17/125*120</f>
        <v>2.5067520000000001</v>
      </c>
      <c r="K17" s="18">
        <v>21</v>
      </c>
      <c r="N17" s="134"/>
      <c r="O17" s="134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</row>
    <row r="18" spans="1:30" s="133" customFormat="1" ht="14.25" customHeight="1" x14ac:dyDescent="0.2">
      <c r="A18" s="13" t="s">
        <v>12</v>
      </c>
      <c r="B18" s="17">
        <v>0.54</v>
      </c>
      <c r="C18" s="7">
        <f t="shared" si="0"/>
        <v>0.45900000000000002</v>
      </c>
      <c r="D18" s="7">
        <f t="shared" si="1"/>
        <v>0.43200000000000005</v>
      </c>
      <c r="E18" s="20">
        <v>20</v>
      </c>
      <c r="F18" s="16"/>
      <c r="G18" s="13" t="s">
        <v>231</v>
      </c>
      <c r="H18" s="17">
        <v>4.8</v>
      </c>
      <c r="I18" s="11">
        <f>H18-(H18/100*4)</f>
        <v>4.6079999999999997</v>
      </c>
      <c r="J18" s="11">
        <f>I18-(I18/100*4)</f>
        <v>4.4236800000000001</v>
      </c>
      <c r="K18" s="18">
        <v>24</v>
      </c>
      <c r="N18" s="129"/>
      <c r="O18" s="129"/>
      <c r="P18" s="134"/>
      <c r="Q18" s="134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</row>
    <row r="19" spans="1:30" s="133" customFormat="1" ht="15" customHeight="1" x14ac:dyDescent="0.2">
      <c r="A19" s="13" t="s">
        <v>13</v>
      </c>
      <c r="B19" s="17">
        <v>0.71</v>
      </c>
      <c r="C19" s="7">
        <f t="shared" si="0"/>
        <v>0.60349999999999993</v>
      </c>
      <c r="D19" s="7">
        <f t="shared" si="1"/>
        <v>0.56799999999999995</v>
      </c>
      <c r="E19" s="20">
        <v>20</v>
      </c>
      <c r="F19" s="16"/>
      <c r="G19" s="13" t="s">
        <v>516</v>
      </c>
      <c r="H19" s="17">
        <v>6.03</v>
      </c>
      <c r="I19" s="11">
        <f t="shared" ref="I19" si="3">H19-(H19/100*3.84)</f>
        <v>5.7984480000000005</v>
      </c>
      <c r="J19" s="11">
        <f>I19/125*120</f>
        <v>5.5665100800000005</v>
      </c>
      <c r="K19" s="24">
        <v>24</v>
      </c>
      <c r="N19" s="129"/>
      <c r="O19" s="129"/>
      <c r="P19" s="134"/>
      <c r="Q19" s="134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</row>
    <row r="20" spans="1:30" s="133" customFormat="1" ht="15" customHeight="1" x14ac:dyDescent="0.2">
      <c r="A20" s="25" t="s">
        <v>546</v>
      </c>
      <c r="B20" s="17">
        <v>3.17</v>
      </c>
      <c r="C20" s="7">
        <f>B20-(B20/100*14.8)</f>
        <v>2.7008399999999999</v>
      </c>
      <c r="D20" s="7">
        <f t="shared" ref="D20" si="4">B20-(B20/100*20)</f>
        <v>2.536</v>
      </c>
      <c r="E20" s="152">
        <v>100</v>
      </c>
      <c r="F20" s="26"/>
      <c r="G20" s="13" t="s">
        <v>234</v>
      </c>
      <c r="H20" s="17">
        <v>3.48</v>
      </c>
      <c r="I20" s="11">
        <f t="shared" si="2"/>
        <v>3.346368</v>
      </c>
      <c r="J20" s="11">
        <f>I20/125*119.9</f>
        <v>3.2098361856000004</v>
      </c>
      <c r="K20" s="24"/>
      <c r="N20" s="129"/>
      <c r="O20" s="129"/>
      <c r="P20" s="134"/>
      <c r="Q20" s="136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  <row r="21" spans="1:30" s="133" customFormat="1" ht="16.5" customHeight="1" x14ac:dyDescent="0.2">
      <c r="A21" s="25" t="s">
        <v>547</v>
      </c>
      <c r="B21" s="17">
        <v>4.5</v>
      </c>
      <c r="C21" s="7">
        <f>B21-(B21/100*15.2)</f>
        <v>3.8159999999999998</v>
      </c>
      <c r="D21" s="7">
        <f t="shared" si="1"/>
        <v>3.6</v>
      </c>
      <c r="E21" s="152">
        <v>182</v>
      </c>
      <c r="F21" s="28"/>
      <c r="G21" s="22" t="s">
        <v>235</v>
      </c>
      <c r="H21" s="17">
        <v>5.98</v>
      </c>
      <c r="I21" s="11">
        <f t="shared" si="2"/>
        <v>5.7503680000000008</v>
      </c>
      <c r="J21" s="11">
        <f>I21/125*120</f>
        <v>5.5203532800000001</v>
      </c>
      <c r="K21" s="24"/>
      <c r="N21" s="129"/>
      <c r="O21" s="129"/>
      <c r="P21" s="134"/>
      <c r="Q21" s="136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 s="133" customFormat="1" ht="15" customHeight="1" x14ac:dyDescent="0.2">
      <c r="A22" s="25" t="s">
        <v>545</v>
      </c>
      <c r="B22" s="17">
        <v>5.05</v>
      </c>
      <c r="C22" s="7">
        <f>B22-(B22/100*15)</f>
        <v>4.2924999999999995</v>
      </c>
      <c r="D22" s="7">
        <f t="shared" ref="D22" si="5">B22-(B22/100*20)</f>
        <v>4.04</v>
      </c>
      <c r="E22" s="152">
        <v>10</v>
      </c>
      <c r="F22" s="28"/>
      <c r="G22" s="13" t="s">
        <v>236</v>
      </c>
      <c r="H22" s="17">
        <v>14.2</v>
      </c>
      <c r="I22" s="11">
        <f t="shared" si="2"/>
        <v>13.654719999999999</v>
      </c>
      <c r="J22" s="11">
        <f>I22/125*119.9</f>
        <v>13.097607424</v>
      </c>
      <c r="K22" s="24"/>
      <c r="N22" s="129"/>
      <c r="O22" s="129"/>
      <c r="P22" s="134"/>
      <c r="Q22" s="136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1:30" s="133" customFormat="1" ht="13.5" customHeight="1" x14ac:dyDescent="0.2">
      <c r="A23" s="25" t="s">
        <v>548</v>
      </c>
      <c r="B23" s="17">
        <v>5.36</v>
      </c>
      <c r="C23" s="7">
        <f>B23-(B23/100*15)</f>
        <v>4.556</v>
      </c>
      <c r="D23" s="7">
        <f t="shared" ref="D23" si="6">B23-(B23/100*20)</f>
        <v>4.2880000000000003</v>
      </c>
      <c r="E23" s="152">
        <v>50</v>
      </c>
      <c r="F23" s="28"/>
      <c r="G23" s="13" t="s">
        <v>213</v>
      </c>
      <c r="H23" s="17">
        <v>0.31</v>
      </c>
      <c r="I23" s="23">
        <f t="shared" si="2"/>
        <v>0.29809599999999997</v>
      </c>
      <c r="J23" s="11">
        <f>I23/125*121</f>
        <v>0.28855692799999999</v>
      </c>
      <c r="K23" s="24">
        <v>80</v>
      </c>
      <c r="N23" s="129"/>
      <c r="O23" s="129"/>
      <c r="P23" s="134"/>
      <c r="Q23" s="136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1:30" s="133" customFormat="1" ht="15" customHeight="1" x14ac:dyDescent="0.2">
      <c r="A24" s="25" t="s">
        <v>543</v>
      </c>
      <c r="B24" s="17">
        <v>6.63</v>
      </c>
      <c r="C24" s="7">
        <f t="shared" ref="C24" si="7">B24-(B24/100*15)</f>
        <v>5.6355000000000004</v>
      </c>
      <c r="D24" s="7">
        <f>B24-(B24/100*19.9)</f>
        <v>5.3106299999999997</v>
      </c>
      <c r="E24" s="152">
        <v>50</v>
      </c>
      <c r="F24" s="16"/>
      <c r="G24" s="13" t="s">
        <v>211</v>
      </c>
      <c r="H24" s="17">
        <v>0.31</v>
      </c>
      <c r="I24" s="23">
        <f t="shared" si="2"/>
        <v>0.29809599999999997</v>
      </c>
      <c r="J24" s="11">
        <f>I24/125*121</f>
        <v>0.28855692799999999</v>
      </c>
      <c r="K24" s="29">
        <v>60</v>
      </c>
      <c r="N24" s="129"/>
      <c r="O24" s="129"/>
      <c r="P24" s="134"/>
      <c r="Q24" s="134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0" s="133" customFormat="1" ht="14.25" customHeight="1" x14ac:dyDescent="0.2">
      <c r="A25" s="25" t="s">
        <v>544</v>
      </c>
      <c r="B25" s="17">
        <v>6.32</v>
      </c>
      <c r="C25" s="7">
        <f t="shared" ref="C25" si="8">B25-(B25/100*15)</f>
        <v>5.3719999999999999</v>
      </c>
      <c r="D25" s="7">
        <f>B25-(B25/100*20.05)</f>
        <v>5.0528399999999998</v>
      </c>
      <c r="E25" s="152">
        <v>46</v>
      </c>
      <c r="F25" s="16"/>
      <c r="G25" s="13" t="s">
        <v>228</v>
      </c>
      <c r="H25" s="17">
        <v>0.68</v>
      </c>
      <c r="I25" s="11">
        <f>H25-(H25/100*3.95)</f>
        <v>0.65314000000000005</v>
      </c>
      <c r="J25" s="11">
        <f>I25-(I25/100*5)</f>
        <v>0.62048300000000001</v>
      </c>
      <c r="K25" s="29">
        <v>48</v>
      </c>
      <c r="N25" s="129"/>
      <c r="O25" s="129"/>
      <c r="P25" s="134"/>
      <c r="Q25" s="134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</row>
    <row r="26" spans="1:30" s="133" customFormat="1" ht="15.75" customHeight="1" x14ac:dyDescent="0.2">
      <c r="A26" s="25" t="s">
        <v>541</v>
      </c>
      <c r="B26" s="17">
        <v>7.1</v>
      </c>
      <c r="C26" s="7">
        <f t="shared" si="0"/>
        <v>6.0350000000000001</v>
      </c>
      <c r="D26" s="7">
        <f t="shared" si="1"/>
        <v>5.68</v>
      </c>
      <c r="E26" s="152">
        <v>80</v>
      </c>
      <c r="F26" s="16"/>
      <c r="G26" s="13" t="s">
        <v>414</v>
      </c>
      <c r="H26" s="17">
        <v>0.92</v>
      </c>
      <c r="I26" s="11">
        <f>H26-(H26/100*3.5)</f>
        <v>0.88780000000000003</v>
      </c>
      <c r="J26" s="11">
        <f>I26-(I26/100*3.84)</f>
        <v>0.85370847999999999</v>
      </c>
      <c r="K26" s="29">
        <v>100</v>
      </c>
      <c r="N26" s="129"/>
      <c r="O26" s="129"/>
      <c r="P26" s="134"/>
      <c r="Q26" s="134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</row>
    <row r="27" spans="1:30" s="133" customFormat="1" ht="15" customHeight="1" x14ac:dyDescent="0.2">
      <c r="A27" s="25" t="s">
        <v>167</v>
      </c>
      <c r="B27" s="17">
        <v>7.1</v>
      </c>
      <c r="C27" s="7">
        <f t="shared" si="0"/>
        <v>6.0350000000000001</v>
      </c>
      <c r="D27" s="7">
        <f t="shared" si="1"/>
        <v>5.68</v>
      </c>
      <c r="E27" s="27">
        <v>100</v>
      </c>
      <c r="F27" s="28"/>
      <c r="G27" s="13" t="s">
        <v>227</v>
      </c>
      <c r="H27" s="17">
        <v>0.38</v>
      </c>
      <c r="I27" s="11">
        <f>H27-(H27/100*3.95)</f>
        <v>0.36498999999999998</v>
      </c>
      <c r="J27" s="11">
        <f>I27/125*121</f>
        <v>0.35331032000000001</v>
      </c>
      <c r="K27" s="29">
        <v>100</v>
      </c>
      <c r="L27" s="129"/>
      <c r="M27" s="129"/>
      <c r="N27" s="129"/>
      <c r="O27" s="129"/>
      <c r="P27" s="134"/>
      <c r="Q27" s="134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</row>
    <row r="28" spans="1:30" s="133" customFormat="1" ht="15.75" customHeight="1" x14ac:dyDescent="0.2">
      <c r="A28" s="13" t="s">
        <v>168</v>
      </c>
      <c r="B28" s="17">
        <v>6.44</v>
      </c>
      <c r="C28" s="7">
        <f t="shared" si="0"/>
        <v>5.4740000000000002</v>
      </c>
      <c r="D28" s="7">
        <f t="shared" si="1"/>
        <v>5.1520000000000001</v>
      </c>
      <c r="E28" s="27">
        <v>50</v>
      </c>
      <c r="F28" s="28"/>
      <c r="G28" s="13" t="s">
        <v>360</v>
      </c>
      <c r="H28" s="17">
        <v>0.46</v>
      </c>
      <c r="I28" s="11">
        <f>H28-(H28/100*3.84)</f>
        <v>0.44233600000000001</v>
      </c>
      <c r="J28" s="11">
        <f>I28-(I28/100*4)</f>
        <v>0.42464256</v>
      </c>
      <c r="K28" s="29"/>
      <c r="L28" s="129"/>
      <c r="M28" s="129"/>
      <c r="N28" s="129"/>
      <c r="O28" s="129"/>
      <c r="P28" s="134"/>
      <c r="Q28" s="134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</row>
    <row r="29" spans="1:30" s="133" customFormat="1" ht="14.25" customHeight="1" x14ac:dyDescent="0.2">
      <c r="A29" s="13" t="s">
        <v>354</v>
      </c>
      <c r="B29" s="17">
        <v>5.99</v>
      </c>
      <c r="C29" s="7">
        <f>B29-(B29/100*15)</f>
        <v>5.0914999999999999</v>
      </c>
      <c r="D29" s="7">
        <f>B29-(B29/100*20)</f>
        <v>4.7919999999999998</v>
      </c>
      <c r="E29" s="27">
        <v>50</v>
      </c>
      <c r="F29" s="28"/>
      <c r="G29" s="13" t="s">
        <v>223</v>
      </c>
      <c r="H29" s="17">
        <v>1.42</v>
      </c>
      <c r="I29" s="11">
        <f>H29-(H29/100*4)</f>
        <v>1.3632</v>
      </c>
      <c r="J29" s="11">
        <f>I29/125*120</f>
        <v>1.3086720000000001</v>
      </c>
      <c r="K29" s="29"/>
      <c r="L29" s="129"/>
      <c r="M29" s="129"/>
      <c r="N29" s="129"/>
      <c r="O29" s="129"/>
      <c r="P29" s="134"/>
      <c r="Q29" s="134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</row>
    <row r="30" spans="1:30" s="133" customFormat="1" ht="16.5" customHeight="1" x14ac:dyDescent="0.2">
      <c r="A30" s="13" t="s">
        <v>355</v>
      </c>
      <c r="B30" s="17">
        <v>7.1</v>
      </c>
      <c r="C30" s="7">
        <f>B30-(B30/100*15)</f>
        <v>6.0350000000000001</v>
      </c>
      <c r="D30" s="7">
        <f>B30-(B30/100*20)</f>
        <v>5.68</v>
      </c>
      <c r="E30" s="27">
        <v>80</v>
      </c>
      <c r="F30" s="28"/>
      <c r="G30" s="25" t="s">
        <v>631</v>
      </c>
      <c r="H30" s="17">
        <v>1.03</v>
      </c>
      <c r="I30" s="11">
        <f>H30-(H30/100*3.84)</f>
        <v>0.990448</v>
      </c>
      <c r="J30" s="11">
        <f>I30/125*120</f>
        <v>0.95083007999999991</v>
      </c>
      <c r="K30" s="18"/>
      <c r="L30" s="129"/>
      <c r="M30" s="129"/>
      <c r="N30" s="129"/>
      <c r="O30" s="129"/>
      <c r="P30" s="134"/>
      <c r="Q30" s="134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</row>
    <row r="31" spans="1:30" s="133" customFormat="1" ht="15" customHeight="1" x14ac:dyDescent="0.2">
      <c r="A31" s="25" t="s">
        <v>542</v>
      </c>
      <c r="B31" s="17">
        <v>10.61</v>
      </c>
      <c r="C31" s="7">
        <f t="shared" ref="C31" si="9">B31-(B31/100*15)</f>
        <v>9.0184999999999995</v>
      </c>
      <c r="D31" s="7">
        <f t="shared" ref="D31" si="10">B31-(B31/100*20)</f>
        <v>8.4879999999999995</v>
      </c>
      <c r="E31" s="152">
        <v>50</v>
      </c>
      <c r="F31" s="28"/>
      <c r="G31" s="25" t="s">
        <v>632</v>
      </c>
      <c r="H31" s="17">
        <v>2.86</v>
      </c>
      <c r="I31" s="11">
        <f>H31-(H31/100*3.84)</f>
        <v>2.7501759999999997</v>
      </c>
      <c r="J31" s="11">
        <f>I31-(I31/100*3.84)</f>
        <v>2.6445692415999997</v>
      </c>
      <c r="K31" s="18"/>
      <c r="L31" s="129"/>
      <c r="M31" s="129"/>
      <c r="N31" s="129"/>
      <c r="O31" s="129"/>
      <c r="P31" s="134"/>
      <c r="Q31" s="134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</row>
    <row r="32" spans="1:30" s="133" customFormat="1" ht="17.25" customHeight="1" x14ac:dyDescent="0.2">
      <c r="A32" s="13" t="s">
        <v>14</v>
      </c>
      <c r="B32" s="17">
        <v>3.4</v>
      </c>
      <c r="C32" s="7">
        <f t="shared" ref="C32:C37" si="11">B32-(B32/100*15)</f>
        <v>2.8899999999999997</v>
      </c>
      <c r="D32" s="7">
        <f t="shared" ref="D32:D37" si="12">B32-(B32/100*20)</f>
        <v>2.7199999999999998</v>
      </c>
      <c r="E32" s="27">
        <v>50</v>
      </c>
      <c r="F32" s="28"/>
      <c r="G32" s="13" t="s">
        <v>224</v>
      </c>
      <c r="H32" s="17">
        <v>3.59</v>
      </c>
      <c r="I32" s="11">
        <f>H32-(H32/100*4)</f>
        <v>3.4463999999999997</v>
      </c>
      <c r="J32" s="11">
        <f>I32/125*120</f>
        <v>3.3085439999999995</v>
      </c>
      <c r="K32" s="18"/>
      <c r="N32" s="129"/>
      <c r="O32" s="129"/>
      <c r="P32" s="134"/>
      <c r="Q32" s="134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</row>
    <row r="33" spans="1:30" s="133" customFormat="1" ht="15" customHeight="1" x14ac:dyDescent="0.2">
      <c r="A33" s="13" t="s">
        <v>15</v>
      </c>
      <c r="B33" s="17">
        <v>3.23</v>
      </c>
      <c r="C33" s="7">
        <f t="shared" si="11"/>
        <v>2.7454999999999998</v>
      </c>
      <c r="D33" s="7">
        <f t="shared" si="12"/>
        <v>2.5840000000000001</v>
      </c>
      <c r="E33" s="20"/>
      <c r="F33" s="28"/>
      <c r="G33" s="13" t="s">
        <v>225</v>
      </c>
      <c r="H33" s="17">
        <v>4.5599999999999996</v>
      </c>
      <c r="I33" s="11">
        <f>H33-(H33/100*3.7)</f>
        <v>4.3912800000000001</v>
      </c>
      <c r="J33" s="11">
        <f>I33/125*119.7</f>
        <v>4.2050897279999999</v>
      </c>
      <c r="K33" s="24"/>
      <c r="L33" s="129"/>
      <c r="M33" s="129"/>
      <c r="N33" s="129"/>
      <c r="O33" s="129"/>
      <c r="P33" s="137"/>
      <c r="Q33" s="134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</row>
    <row r="34" spans="1:30" s="133" customFormat="1" ht="14.25" customHeight="1" x14ac:dyDescent="0.2">
      <c r="A34" s="13" t="s">
        <v>16</v>
      </c>
      <c r="B34" s="17">
        <v>3.28</v>
      </c>
      <c r="C34" s="7">
        <f t="shared" si="11"/>
        <v>2.7879999999999998</v>
      </c>
      <c r="D34" s="7">
        <f t="shared" si="12"/>
        <v>2.6239999999999997</v>
      </c>
      <c r="E34" s="20"/>
      <c r="F34" s="28"/>
      <c r="G34" s="13" t="s">
        <v>226</v>
      </c>
      <c r="H34" s="17">
        <v>4.0999999999999996</v>
      </c>
      <c r="I34" s="11">
        <f>H34-(H34/100*4)</f>
        <v>3.9359999999999995</v>
      </c>
      <c r="J34" s="11">
        <f>I34/125*120</f>
        <v>3.7785599999999993</v>
      </c>
      <c r="K34" s="29"/>
      <c r="L34" s="129"/>
      <c r="M34" s="129"/>
      <c r="N34" s="129"/>
      <c r="O34" s="129"/>
      <c r="P34" s="137"/>
      <c r="Q34" s="134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</row>
    <row r="35" spans="1:30" s="133" customFormat="1" ht="14.25" customHeight="1" x14ac:dyDescent="0.2">
      <c r="A35" s="25" t="s">
        <v>623</v>
      </c>
      <c r="B35" s="17">
        <v>3.47</v>
      </c>
      <c r="C35" s="7">
        <f t="shared" si="11"/>
        <v>2.9495</v>
      </c>
      <c r="D35" s="7">
        <f t="shared" si="12"/>
        <v>2.7760000000000002</v>
      </c>
      <c r="E35" s="20">
        <v>100</v>
      </c>
      <c r="F35" s="28"/>
      <c r="G35" s="13" t="s">
        <v>422</v>
      </c>
      <c r="H35" s="17">
        <v>1.72</v>
      </c>
      <c r="I35" s="11">
        <f>H35-(H35/100*3.84)</f>
        <v>1.6539519999999999</v>
      </c>
      <c r="J35" s="11">
        <f>I35/125*119.5</f>
        <v>1.5811781119999997</v>
      </c>
      <c r="K35" s="24"/>
      <c r="L35" s="129"/>
      <c r="M35" s="129"/>
      <c r="N35" s="129"/>
      <c r="O35" s="129"/>
      <c r="P35" s="137"/>
      <c r="Q35" s="134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</row>
    <row r="36" spans="1:30" s="133" customFormat="1" ht="17.25" customHeight="1" x14ac:dyDescent="0.2">
      <c r="A36" s="25" t="s">
        <v>17</v>
      </c>
      <c r="B36" s="17">
        <v>3.88</v>
      </c>
      <c r="C36" s="7">
        <f t="shared" si="11"/>
        <v>3.298</v>
      </c>
      <c r="D36" s="7">
        <f t="shared" si="12"/>
        <v>3.1040000000000001</v>
      </c>
      <c r="E36" s="27">
        <v>100</v>
      </c>
      <c r="F36" s="33"/>
      <c r="G36" s="5" t="s">
        <v>423</v>
      </c>
      <c r="H36" s="11">
        <v>1.56</v>
      </c>
      <c r="I36" s="11">
        <f>H36-(H36/100*3.84)</f>
        <v>1.5000960000000001</v>
      </c>
      <c r="J36" s="11">
        <f>I36/125*120</f>
        <v>1.4400921600000001</v>
      </c>
      <c r="K36" s="24"/>
      <c r="L36" s="129"/>
      <c r="M36" s="129"/>
      <c r="N36" s="129"/>
      <c r="O36" s="129"/>
      <c r="P36" s="137"/>
      <c r="Q36" s="134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 spans="1:30" s="133" customFormat="1" ht="17.25" customHeight="1" x14ac:dyDescent="0.2">
      <c r="A37" s="25" t="s">
        <v>624</v>
      </c>
      <c r="B37" s="17">
        <v>5.84</v>
      </c>
      <c r="C37" s="7">
        <f t="shared" si="11"/>
        <v>4.9639999999999995</v>
      </c>
      <c r="D37" s="7">
        <f t="shared" si="12"/>
        <v>4.6719999999999997</v>
      </c>
      <c r="E37" s="27">
        <v>50</v>
      </c>
      <c r="F37" s="35"/>
      <c r="G37" s="13" t="s">
        <v>215</v>
      </c>
      <c r="H37" s="17">
        <v>2.65</v>
      </c>
      <c r="I37" s="11">
        <f>H37-(H37/100*3.84)</f>
        <v>2.5482399999999998</v>
      </c>
      <c r="J37" s="11">
        <f>I37-(I37/100*4)</f>
        <v>2.4463103999999998</v>
      </c>
      <c r="K37" s="24">
        <v>10</v>
      </c>
      <c r="L37" s="129"/>
      <c r="M37" s="129"/>
      <c r="N37" s="129"/>
      <c r="O37" s="129"/>
      <c r="P37" s="137"/>
      <c r="Q37" s="134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</row>
    <row r="38" spans="1:30" s="133" customFormat="1" ht="15" customHeight="1" x14ac:dyDescent="0.2">
      <c r="A38" s="13" t="s">
        <v>473</v>
      </c>
      <c r="B38" s="17">
        <v>17.55</v>
      </c>
      <c r="C38" s="19">
        <f>B38-(B38/100*3.84)</f>
        <v>16.876080000000002</v>
      </c>
      <c r="D38" s="7">
        <f>C38-(C38/100*4)</f>
        <v>16.201036800000001</v>
      </c>
      <c r="E38" s="27" t="s">
        <v>105</v>
      </c>
      <c r="F38" s="35"/>
      <c r="G38" s="13" t="s">
        <v>440</v>
      </c>
      <c r="H38" s="17">
        <v>4.88</v>
      </c>
      <c r="I38" s="11">
        <f>H38-(H38/100*3.84)</f>
        <v>4.6926079999999999</v>
      </c>
      <c r="J38" s="11">
        <f>I38/125*120.2</f>
        <v>4.5124118528000006</v>
      </c>
      <c r="K38" s="24">
        <v>12</v>
      </c>
      <c r="L38" s="129"/>
      <c r="M38" s="129"/>
      <c r="N38" s="129"/>
      <c r="O38" s="129"/>
      <c r="P38" s="137"/>
      <c r="Q38" s="134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1:30" s="133" customFormat="1" ht="15" customHeight="1" x14ac:dyDescent="0.2">
      <c r="A39" s="13" t="s">
        <v>356</v>
      </c>
      <c r="B39" s="17">
        <v>14.95</v>
      </c>
      <c r="C39" s="19">
        <f>B39-(B39/100*3.84)</f>
        <v>14.375919999999999</v>
      </c>
      <c r="D39" s="7">
        <f>C39-(C39/100*4)</f>
        <v>13.800883199999999</v>
      </c>
      <c r="E39" s="27" t="s">
        <v>105</v>
      </c>
      <c r="F39" s="28"/>
      <c r="G39" s="13" t="s">
        <v>216</v>
      </c>
      <c r="H39" s="17">
        <v>7.49</v>
      </c>
      <c r="I39" s="11">
        <f>H39-(H39/100*3.84)</f>
        <v>7.2023840000000003</v>
      </c>
      <c r="J39" s="11">
        <f>I39/125*120</f>
        <v>6.9142886399999997</v>
      </c>
      <c r="K39" s="24">
        <v>12</v>
      </c>
      <c r="L39" s="129"/>
      <c r="M39" s="129"/>
      <c r="N39" s="129"/>
      <c r="O39" s="129"/>
      <c r="P39" s="134"/>
      <c r="Q39" s="134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pans="1:30" s="133" customFormat="1" ht="15.75" customHeight="1" x14ac:dyDescent="0.2">
      <c r="A40" s="155" t="s">
        <v>343</v>
      </c>
      <c r="B40" s="17">
        <v>0.49</v>
      </c>
      <c r="C40" s="19">
        <f>B40-(B40/100*15)</f>
        <v>0.41649999999999998</v>
      </c>
      <c r="D40" s="19">
        <f>B40-(B40/100*20)</f>
        <v>0.39200000000000002</v>
      </c>
      <c r="E40" s="30">
        <v>900</v>
      </c>
      <c r="F40" s="28"/>
      <c r="G40" s="13" t="s">
        <v>217</v>
      </c>
      <c r="H40" s="17">
        <v>2.29</v>
      </c>
      <c r="I40" s="11">
        <f>H40-(H40/100*8.2)</f>
        <v>2.10222</v>
      </c>
      <c r="J40" s="23">
        <f>I40/125*119.5</f>
        <v>2.0097223200000003</v>
      </c>
      <c r="K40" s="24">
        <v>15</v>
      </c>
      <c r="L40" s="129"/>
      <c r="M40" s="129"/>
      <c r="N40" s="129"/>
      <c r="O40" s="129"/>
      <c r="P40" s="134"/>
      <c r="Q40" s="134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</row>
    <row r="41" spans="1:30" s="133" customFormat="1" ht="15" customHeight="1" x14ac:dyDescent="0.2">
      <c r="A41" s="25" t="s">
        <v>295</v>
      </c>
      <c r="B41" s="17">
        <v>0.55000000000000004</v>
      </c>
      <c r="C41" s="19">
        <f>B41-(B41/100*15)</f>
        <v>0.46750000000000003</v>
      </c>
      <c r="D41" s="19">
        <f>B41-(B41/100*20)</f>
        <v>0.44000000000000006</v>
      </c>
      <c r="E41" s="30">
        <v>38</v>
      </c>
      <c r="F41" s="28"/>
      <c r="G41" s="13" t="s">
        <v>218</v>
      </c>
      <c r="H41" s="17">
        <v>1.3</v>
      </c>
      <c r="I41" s="23">
        <f>H41-(H41/100*4)</f>
        <v>1.248</v>
      </c>
      <c r="J41" s="23">
        <f t="shared" ref="J41:J50" si="13">I41/125*120</f>
        <v>1.19808</v>
      </c>
      <c r="K41" s="24"/>
      <c r="L41" s="129"/>
      <c r="M41" s="129"/>
      <c r="N41" s="129"/>
      <c r="O41" s="129"/>
      <c r="P41" s="134"/>
      <c r="Q41" s="134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</row>
    <row r="42" spans="1:30" s="133" customFormat="1" ht="14.25" customHeight="1" x14ac:dyDescent="0.2">
      <c r="A42" s="25" t="s">
        <v>427</v>
      </c>
      <c r="B42" s="17">
        <v>0.92</v>
      </c>
      <c r="C42" s="19">
        <f>B42-(B42/100*15)</f>
        <v>0.78200000000000003</v>
      </c>
      <c r="D42" s="19">
        <f>B42-(B42/100*20)</f>
        <v>0.73599999999999999</v>
      </c>
      <c r="E42" s="30">
        <v>36</v>
      </c>
      <c r="F42" s="28"/>
      <c r="G42" s="13" t="s">
        <v>290</v>
      </c>
      <c r="H42" s="11">
        <v>1.55</v>
      </c>
      <c r="I42" s="11">
        <f>H42-(H42/100*3.5)</f>
        <v>1.4957500000000001</v>
      </c>
      <c r="J42" s="23">
        <f t="shared" si="13"/>
        <v>1.4359200000000001</v>
      </c>
      <c r="K42" s="29">
        <v>24</v>
      </c>
      <c r="L42" s="129"/>
      <c r="M42" s="129"/>
      <c r="N42" s="129"/>
      <c r="O42" s="129"/>
      <c r="P42" s="134"/>
      <c r="Q42" s="134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</row>
    <row r="43" spans="1:30" s="133" customFormat="1" ht="14.25" customHeight="1" x14ac:dyDescent="0.2">
      <c r="A43" s="25" t="s">
        <v>353</v>
      </c>
      <c r="B43" s="17">
        <v>0.55000000000000004</v>
      </c>
      <c r="C43" s="19">
        <f>B43-(B43/100*15)</f>
        <v>0.46750000000000003</v>
      </c>
      <c r="D43" s="19">
        <f>B43-(B43/100*20)</f>
        <v>0.44000000000000006</v>
      </c>
      <c r="E43" s="30">
        <v>60</v>
      </c>
      <c r="F43" s="28"/>
      <c r="G43" s="5" t="s">
        <v>445</v>
      </c>
      <c r="H43" s="11">
        <v>1.0900000000000001</v>
      </c>
      <c r="I43" s="11">
        <f>H43-(H43/100*4)</f>
        <v>1.0464</v>
      </c>
      <c r="J43" s="23">
        <f>I43/125*121</f>
        <v>1.0129152000000001</v>
      </c>
      <c r="K43" s="24">
        <v>24</v>
      </c>
      <c r="L43" s="129"/>
      <c r="M43" s="129"/>
      <c r="N43" s="129"/>
      <c r="O43" s="129"/>
      <c r="P43" s="134"/>
      <c r="Q43" s="134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</row>
    <row r="44" spans="1:30" s="133" customFormat="1" ht="14.25" customHeight="1" x14ac:dyDescent="0.2">
      <c r="A44" s="31" t="s">
        <v>357</v>
      </c>
      <c r="B44" s="17">
        <v>0.42</v>
      </c>
      <c r="C44" s="19">
        <f>B44-(B44/100*15)</f>
        <v>0.35699999999999998</v>
      </c>
      <c r="D44" s="19">
        <f>B44-(B44/100*20)</f>
        <v>0.33599999999999997</v>
      </c>
      <c r="E44" s="30">
        <v>220</v>
      </c>
      <c r="F44" s="28"/>
      <c r="G44" s="5" t="s">
        <v>219</v>
      </c>
      <c r="H44" s="11">
        <v>2.04</v>
      </c>
      <c r="I44" s="11">
        <f>H44-(H44/100*4)</f>
        <v>1.9584000000000001</v>
      </c>
      <c r="J44" s="23">
        <f t="shared" si="13"/>
        <v>1.8800640000000004</v>
      </c>
      <c r="K44" s="24"/>
      <c r="L44" s="129"/>
      <c r="M44" s="129"/>
      <c r="N44" s="129"/>
      <c r="O44" s="129"/>
      <c r="P44" s="137"/>
      <c r="Q44" s="134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1:30" s="133" customFormat="1" ht="15.75" customHeight="1" x14ac:dyDescent="0.2">
      <c r="A45" s="31" t="s">
        <v>19</v>
      </c>
      <c r="B45" s="17">
        <v>0.6</v>
      </c>
      <c r="C45" s="19">
        <v>0.6</v>
      </c>
      <c r="D45" s="19">
        <v>0.6</v>
      </c>
      <c r="E45" s="30">
        <v>40</v>
      </c>
      <c r="F45" s="35"/>
      <c r="G45" s="25" t="s">
        <v>515</v>
      </c>
      <c r="H45" s="17">
        <v>11.82</v>
      </c>
      <c r="I45" s="11">
        <f>H45-(H45/100*3.84)</f>
        <v>11.366112000000001</v>
      </c>
      <c r="J45" s="23">
        <f t="shared" ref="J45:J46" si="14">I45/125*120</f>
        <v>10.91146752</v>
      </c>
      <c r="K45" s="24">
        <v>6</v>
      </c>
      <c r="L45" s="129"/>
      <c r="M45" s="129"/>
      <c r="N45" s="129"/>
      <c r="O45" s="129"/>
      <c r="P45" s="137"/>
      <c r="Q45" s="134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</row>
    <row r="46" spans="1:30" s="133" customFormat="1" ht="15.75" customHeight="1" x14ac:dyDescent="0.2">
      <c r="A46" s="13" t="s">
        <v>18</v>
      </c>
      <c r="B46" s="17">
        <v>0.53</v>
      </c>
      <c r="C46" s="19">
        <v>0.53</v>
      </c>
      <c r="D46" s="19">
        <v>0.53</v>
      </c>
      <c r="E46" s="30">
        <v>300</v>
      </c>
      <c r="F46" s="28"/>
      <c r="G46" s="25" t="s">
        <v>514</v>
      </c>
      <c r="H46" s="17">
        <v>9.09</v>
      </c>
      <c r="I46" s="11">
        <f>H46-(H46/100*3.84)</f>
        <v>8.7409440000000007</v>
      </c>
      <c r="J46" s="23">
        <f t="shared" si="14"/>
        <v>8.3913062400000005</v>
      </c>
      <c r="K46" s="24">
        <v>6</v>
      </c>
      <c r="L46" s="129"/>
      <c r="M46" s="129"/>
      <c r="N46" s="129"/>
      <c r="O46" s="129"/>
      <c r="P46" s="137"/>
      <c r="Q46" s="134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  <row r="47" spans="1:30" s="133" customFormat="1" ht="15" customHeight="1" x14ac:dyDescent="0.2">
      <c r="A47" s="25" t="s">
        <v>20</v>
      </c>
      <c r="B47" s="17">
        <v>0.86</v>
      </c>
      <c r="C47" s="19">
        <f>B47-(B47/100*15)</f>
        <v>0.73099999999999998</v>
      </c>
      <c r="D47" s="19">
        <f>B47-(B47/100*20)</f>
        <v>0.68799999999999994</v>
      </c>
      <c r="E47" s="29"/>
      <c r="F47" s="28"/>
      <c r="G47" s="25" t="s">
        <v>513</v>
      </c>
      <c r="H47" s="17">
        <v>13.05</v>
      </c>
      <c r="I47" s="11">
        <f>H47-(H47/100*3.84)</f>
        <v>12.54888</v>
      </c>
      <c r="J47" s="23">
        <f t="shared" si="13"/>
        <v>12.046924799999999</v>
      </c>
      <c r="K47" s="24"/>
      <c r="L47" s="129"/>
      <c r="M47" s="129"/>
      <c r="N47" s="129"/>
      <c r="O47" s="129"/>
      <c r="P47" s="134"/>
      <c r="Q47" s="134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1:30" s="133" customFormat="1" ht="15" customHeight="1" x14ac:dyDescent="0.2">
      <c r="A48" s="25" t="s">
        <v>143</v>
      </c>
      <c r="B48" s="11">
        <v>0.9</v>
      </c>
      <c r="C48" s="19">
        <f>B48-(B48/100*15)</f>
        <v>0.76500000000000001</v>
      </c>
      <c r="D48" s="19">
        <f>B48-(B48/100*20)</f>
        <v>0.72</v>
      </c>
      <c r="E48" s="34">
        <v>200</v>
      </c>
      <c r="F48" s="28"/>
      <c r="G48" s="25" t="s">
        <v>220</v>
      </c>
      <c r="H48" s="17">
        <v>8.49</v>
      </c>
      <c r="I48" s="11">
        <f>H48-(H48/100*3.84)</f>
        <v>8.163984000000001</v>
      </c>
      <c r="J48" s="23">
        <f t="shared" si="13"/>
        <v>7.8374246400000009</v>
      </c>
      <c r="K48" s="24">
        <v>12</v>
      </c>
      <c r="L48" s="129"/>
      <c r="M48" s="129"/>
      <c r="N48" s="129"/>
      <c r="O48" s="129"/>
      <c r="P48" s="134"/>
      <c r="Q48" s="134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</row>
    <row r="49" spans="1:30" s="133" customFormat="1" ht="14.25" customHeight="1" x14ac:dyDescent="0.2">
      <c r="A49" s="10" t="s">
        <v>126</v>
      </c>
      <c r="B49" s="11">
        <v>1.56</v>
      </c>
      <c r="C49" s="19">
        <f>B49-(B49/100*15)</f>
        <v>1.3260000000000001</v>
      </c>
      <c r="D49" s="19">
        <f>C49</f>
        <v>1.3260000000000001</v>
      </c>
      <c r="E49" s="34">
        <v>200</v>
      </c>
      <c r="F49" s="28"/>
      <c r="G49" s="13" t="s">
        <v>221</v>
      </c>
      <c r="H49" s="17">
        <v>2.52</v>
      </c>
      <c r="I49" s="11">
        <f>H49-(H49/100*3.5)</f>
        <v>2.4318</v>
      </c>
      <c r="J49" s="23">
        <f t="shared" si="13"/>
        <v>2.3345280000000002</v>
      </c>
      <c r="K49" s="24">
        <v>12</v>
      </c>
      <c r="L49" s="129"/>
      <c r="M49" s="129"/>
      <c r="N49" s="129"/>
      <c r="O49" s="129"/>
      <c r="P49" s="134"/>
      <c r="Q49" s="134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</row>
    <row r="50" spans="1:30" s="133" customFormat="1" ht="16.5" customHeight="1" x14ac:dyDescent="0.2">
      <c r="A50" s="10" t="s">
        <v>21</v>
      </c>
      <c r="B50" s="11">
        <v>1.88</v>
      </c>
      <c r="C50" s="19">
        <f>B50-(B50/100*15)</f>
        <v>1.5979999999999999</v>
      </c>
      <c r="D50" s="19">
        <f>B50-(B50/100*20)</f>
        <v>1.504</v>
      </c>
      <c r="E50" s="34">
        <v>100</v>
      </c>
      <c r="F50" s="28"/>
      <c r="G50" s="13" t="s">
        <v>222</v>
      </c>
      <c r="H50" s="17">
        <v>1.35</v>
      </c>
      <c r="I50" s="11">
        <f t="shared" ref="I50:I55" si="15">H50-(H50/100*3.84)</f>
        <v>1.29816</v>
      </c>
      <c r="J50" s="23">
        <f t="shared" si="13"/>
        <v>1.2462336000000001</v>
      </c>
      <c r="K50" s="24">
        <v>12</v>
      </c>
      <c r="L50" s="129"/>
      <c r="M50" s="129"/>
      <c r="N50" s="129"/>
      <c r="O50" s="129"/>
      <c r="P50" s="134"/>
      <c r="Q50" s="134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</row>
    <row r="51" spans="1:30" s="133" customFormat="1" ht="15" customHeight="1" x14ac:dyDescent="0.2">
      <c r="A51" s="5" t="s">
        <v>159</v>
      </c>
      <c r="B51" s="11">
        <v>1.18</v>
      </c>
      <c r="C51" s="19">
        <f>B51-(B51/100*15)</f>
        <v>1.0029999999999999</v>
      </c>
      <c r="D51" s="19">
        <f>B51-(B51/100*20)</f>
        <v>0.94399999999999995</v>
      </c>
      <c r="E51" s="34">
        <v>50</v>
      </c>
      <c r="F51" s="28"/>
      <c r="G51" s="43" t="s">
        <v>214</v>
      </c>
      <c r="H51" s="11">
        <v>1.18</v>
      </c>
      <c r="I51" s="23">
        <f t="shared" si="15"/>
        <v>1.1346879999999999</v>
      </c>
      <c r="J51" s="23">
        <f>I51/125*120</f>
        <v>1.0893004799999999</v>
      </c>
      <c r="K51" s="24">
        <v>9</v>
      </c>
      <c r="L51" s="129"/>
      <c r="M51" s="129"/>
      <c r="N51" s="129"/>
      <c r="O51" s="129"/>
      <c r="P51" s="134"/>
      <c r="Q51" s="134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</row>
    <row r="52" spans="1:30" s="133" customFormat="1" ht="15" customHeight="1" x14ac:dyDescent="0.2">
      <c r="A52" s="5" t="s">
        <v>22</v>
      </c>
      <c r="B52" s="11">
        <v>2.25</v>
      </c>
      <c r="C52" s="19">
        <v>2.0099999999999998</v>
      </c>
      <c r="D52" s="19">
        <f>C52/125*120</f>
        <v>1.9295999999999998</v>
      </c>
      <c r="E52" s="34"/>
      <c r="F52" s="40"/>
      <c r="G52" s="43" t="s">
        <v>239</v>
      </c>
      <c r="H52" s="11">
        <v>8.32</v>
      </c>
      <c r="I52" s="23">
        <f t="shared" si="15"/>
        <v>8.0005120000000005</v>
      </c>
      <c r="J52" s="23">
        <f>I52/125*120</f>
        <v>7.6804915200000012</v>
      </c>
      <c r="K52" s="24"/>
      <c r="L52" s="129"/>
      <c r="M52" s="129"/>
      <c r="N52" s="129"/>
      <c r="O52" s="129"/>
      <c r="P52" s="134"/>
      <c r="Q52" s="134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</row>
    <row r="53" spans="1:30" s="133" customFormat="1" ht="15.75" customHeight="1" x14ac:dyDescent="0.2">
      <c r="A53" s="13" t="s">
        <v>23</v>
      </c>
      <c r="B53" s="17">
        <v>0.84</v>
      </c>
      <c r="C53" s="19">
        <f t="shared" ref="C53:C61" si="16">B53-(B53/100*15)</f>
        <v>0.71399999999999997</v>
      </c>
      <c r="D53" s="19">
        <f t="shared" ref="D53:D61" si="17">B53-(B53/100*20)</f>
        <v>0.67199999999999993</v>
      </c>
      <c r="E53" s="27">
        <v>70</v>
      </c>
      <c r="F53" s="28"/>
      <c r="G53" s="25" t="s">
        <v>238</v>
      </c>
      <c r="H53" s="17">
        <v>2.25</v>
      </c>
      <c r="I53" s="11">
        <f t="shared" si="15"/>
        <v>2.1636000000000002</v>
      </c>
      <c r="J53" s="23">
        <f>I53/125*120</f>
        <v>2.0770560000000002</v>
      </c>
      <c r="K53" s="29"/>
      <c r="L53" s="129"/>
      <c r="M53" s="129"/>
      <c r="N53" s="129"/>
      <c r="O53" s="129"/>
      <c r="P53" s="134"/>
      <c r="Q53" s="134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</row>
    <row r="54" spans="1:30" s="133" customFormat="1" ht="15" customHeight="1" x14ac:dyDescent="0.2">
      <c r="A54" s="13" t="s">
        <v>298</v>
      </c>
      <c r="B54" s="17">
        <v>0.72</v>
      </c>
      <c r="C54" s="19">
        <f t="shared" si="16"/>
        <v>0.61199999999999999</v>
      </c>
      <c r="D54" s="19">
        <f t="shared" si="17"/>
        <v>0.57599999999999996</v>
      </c>
      <c r="E54" s="27">
        <v>120</v>
      </c>
      <c r="F54" s="41"/>
      <c r="G54" s="13" t="s">
        <v>240</v>
      </c>
      <c r="H54" s="17">
        <v>11.97</v>
      </c>
      <c r="I54" s="11">
        <f t="shared" si="15"/>
        <v>11.510352000000001</v>
      </c>
      <c r="J54" s="23">
        <f>I54/125*120</f>
        <v>11.049937920000001</v>
      </c>
      <c r="K54" s="24"/>
      <c r="L54" s="129"/>
      <c r="M54" s="129"/>
      <c r="N54" s="129"/>
      <c r="O54" s="129"/>
      <c r="P54" s="134"/>
      <c r="Q54" s="134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</row>
    <row r="55" spans="1:30" s="133" customFormat="1" ht="14.25" customHeight="1" x14ac:dyDescent="0.2">
      <c r="A55" s="13" t="s">
        <v>297</v>
      </c>
      <c r="B55" s="17">
        <v>1.02</v>
      </c>
      <c r="C55" s="19">
        <f>B55-(B55/100*16)</f>
        <v>0.85680000000000001</v>
      </c>
      <c r="D55" s="19">
        <f>B55-(B55/100*21)</f>
        <v>0.80580000000000007</v>
      </c>
      <c r="E55" s="27">
        <v>120</v>
      </c>
      <c r="F55" s="28"/>
      <c r="G55" s="13" t="s">
        <v>241</v>
      </c>
      <c r="H55" s="17">
        <v>13.77</v>
      </c>
      <c r="I55" s="11">
        <f t="shared" si="15"/>
        <v>13.241232</v>
      </c>
      <c r="J55" s="23">
        <f>I55/125*120</f>
        <v>12.711582720000001</v>
      </c>
      <c r="K55" s="45"/>
      <c r="L55" s="129"/>
      <c r="M55" s="129"/>
      <c r="N55" s="129"/>
      <c r="O55" s="129"/>
      <c r="P55" s="134"/>
      <c r="Q55" s="134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</row>
    <row r="56" spans="1:30" s="141" customFormat="1" ht="15.75" customHeight="1" x14ac:dyDescent="0.2">
      <c r="A56" s="13" t="s">
        <v>144</v>
      </c>
      <c r="B56" s="17">
        <v>0.27</v>
      </c>
      <c r="C56" s="19">
        <f t="shared" si="16"/>
        <v>0.22950000000000001</v>
      </c>
      <c r="D56" s="19">
        <f t="shared" si="17"/>
        <v>0.21600000000000003</v>
      </c>
      <c r="E56" s="27">
        <v>144</v>
      </c>
      <c r="F56" s="28"/>
      <c r="G56" s="13" t="s">
        <v>361</v>
      </c>
      <c r="H56" s="17">
        <v>2.81</v>
      </c>
      <c r="I56" s="11">
        <f>H56-(H56/100*3.84)</f>
        <v>2.7020960000000001</v>
      </c>
      <c r="J56" s="11">
        <f>I56-(I56/100*4)</f>
        <v>2.5940121600000001</v>
      </c>
      <c r="K56" s="24">
        <v>20</v>
      </c>
      <c r="L56" s="138"/>
      <c r="M56" s="138"/>
      <c r="N56" s="138"/>
      <c r="O56" s="138"/>
      <c r="P56" s="139"/>
      <c r="Q56" s="139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</row>
    <row r="57" spans="1:30" s="141" customFormat="1" ht="15" customHeight="1" x14ac:dyDescent="0.2">
      <c r="A57" s="25" t="s">
        <v>145</v>
      </c>
      <c r="B57" s="17">
        <v>0.48</v>
      </c>
      <c r="C57" s="19">
        <f t="shared" si="16"/>
        <v>0.40799999999999997</v>
      </c>
      <c r="D57" s="19">
        <f t="shared" si="17"/>
        <v>0.38400000000000001</v>
      </c>
      <c r="E57" s="27">
        <v>112</v>
      </c>
      <c r="F57" s="28"/>
      <c r="G57" s="25" t="s">
        <v>242</v>
      </c>
      <c r="H57" s="17">
        <v>2.2799999999999998</v>
      </c>
      <c r="I57" s="11">
        <f>H57-(H57/100*3.84)</f>
        <v>2.1924479999999997</v>
      </c>
      <c r="J57" s="23">
        <f>I57/125*120</f>
        <v>2.1047500799999996</v>
      </c>
      <c r="K57" s="24">
        <v>10</v>
      </c>
      <c r="L57" s="138"/>
      <c r="M57" s="138"/>
      <c r="N57" s="138"/>
      <c r="O57" s="138"/>
      <c r="P57" s="139"/>
      <c r="Q57" s="139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</row>
    <row r="58" spans="1:30" s="141" customFormat="1" ht="15.75" customHeight="1" x14ac:dyDescent="0.2">
      <c r="A58" s="13" t="s">
        <v>296</v>
      </c>
      <c r="B58" s="17">
        <v>3.32</v>
      </c>
      <c r="C58" s="19">
        <f>B58-(B58/100*15)</f>
        <v>2.8220000000000001</v>
      </c>
      <c r="D58" s="19">
        <f>B58-(B58/100*20)</f>
        <v>2.6559999999999997</v>
      </c>
      <c r="E58" s="27">
        <v>50</v>
      </c>
      <c r="F58" s="28"/>
      <c r="G58" s="25" t="s">
        <v>243</v>
      </c>
      <c r="H58" s="17">
        <v>1.05</v>
      </c>
      <c r="I58" s="11">
        <f>H58-(H58/100*4)</f>
        <v>1.008</v>
      </c>
      <c r="J58" s="11">
        <f>I58/125*120</f>
        <v>0.96767999999999998</v>
      </c>
      <c r="K58" s="24">
        <v>20</v>
      </c>
      <c r="L58" s="138"/>
      <c r="M58" s="138"/>
      <c r="N58" s="138"/>
      <c r="O58" s="138"/>
      <c r="P58" s="139"/>
      <c r="Q58" s="139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</row>
    <row r="59" spans="1:30" s="141" customFormat="1" ht="16.5" customHeight="1" x14ac:dyDescent="0.2">
      <c r="A59" s="13" t="s">
        <v>443</v>
      </c>
      <c r="B59" s="17">
        <v>0.67</v>
      </c>
      <c r="C59" s="19">
        <f>B59-(B59/100*15)</f>
        <v>0.56950000000000001</v>
      </c>
      <c r="D59" s="19">
        <f>B59-(B59/100*21)</f>
        <v>0.5293000000000001</v>
      </c>
      <c r="E59" s="27">
        <v>72</v>
      </c>
      <c r="F59" s="16"/>
      <c r="G59" s="25" t="s">
        <v>244</v>
      </c>
      <c r="H59" s="17">
        <v>3.48</v>
      </c>
      <c r="I59" s="11">
        <f>H59-(H59/100*3.84)</f>
        <v>3.346368</v>
      </c>
      <c r="J59" s="11">
        <f>I59/125*120.2</f>
        <v>3.2178674688000002</v>
      </c>
      <c r="K59" s="24"/>
      <c r="L59" s="138"/>
      <c r="M59" s="138"/>
      <c r="N59" s="138"/>
      <c r="O59" s="138"/>
      <c r="P59" s="139"/>
      <c r="Q59" s="139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</row>
    <row r="60" spans="1:30" s="141" customFormat="1" ht="15" customHeight="1" x14ac:dyDescent="0.2">
      <c r="A60" s="13" t="s">
        <v>578</v>
      </c>
      <c r="B60" s="17">
        <v>0.73</v>
      </c>
      <c r="C60" s="19">
        <f t="shared" ref="C60" si="18">B60-(B60/100*15)</f>
        <v>0.62049999999999994</v>
      </c>
      <c r="D60" s="19">
        <f>B60-(B60/100*19)</f>
        <v>0.59129999999999994</v>
      </c>
      <c r="E60" s="27">
        <v>100</v>
      </c>
      <c r="F60" s="16"/>
      <c r="G60" s="13" t="s">
        <v>421</v>
      </c>
      <c r="H60" s="17">
        <v>6.14</v>
      </c>
      <c r="I60" s="23">
        <f>H60-(H60/100*15)</f>
        <v>5.2189999999999994</v>
      </c>
      <c r="J60" s="23">
        <f>H60-(H60/100*20)</f>
        <v>4.9119999999999999</v>
      </c>
      <c r="K60" s="24">
        <v>12</v>
      </c>
      <c r="L60" s="138"/>
      <c r="M60" s="138"/>
      <c r="N60" s="138"/>
      <c r="O60" s="138"/>
      <c r="P60" s="139"/>
      <c r="Q60" s="139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</row>
    <row r="61" spans="1:30" s="141" customFormat="1" ht="15.75" customHeight="1" x14ac:dyDescent="0.2">
      <c r="A61" s="13" t="s">
        <v>525</v>
      </c>
      <c r="B61" s="17">
        <v>1.1599999999999999</v>
      </c>
      <c r="C61" s="19">
        <f t="shared" si="16"/>
        <v>0.98599999999999999</v>
      </c>
      <c r="D61" s="19">
        <f t="shared" si="17"/>
        <v>0.92799999999999994</v>
      </c>
      <c r="E61" s="27">
        <v>56</v>
      </c>
      <c r="F61" s="16"/>
      <c r="G61" s="13" t="s">
        <v>432</v>
      </c>
      <c r="H61" s="17">
        <v>12.69</v>
      </c>
      <c r="I61" s="23">
        <f>H61-(H61/100*3.84)</f>
        <v>12.202703999999999</v>
      </c>
      <c r="J61" s="11">
        <f>I61/125*120</f>
        <v>11.714595839999998</v>
      </c>
      <c r="K61" s="24">
        <v>12</v>
      </c>
      <c r="L61" s="138"/>
      <c r="M61" s="138"/>
      <c r="N61" s="138"/>
      <c r="O61" s="138"/>
      <c r="P61" s="139"/>
      <c r="Q61" s="139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</row>
    <row r="62" spans="1:30" s="141" customFormat="1" ht="17.25" customHeight="1" x14ac:dyDescent="0.2">
      <c r="A62" s="13" t="s">
        <v>299</v>
      </c>
      <c r="B62" s="17">
        <v>0.62</v>
      </c>
      <c r="C62" s="19">
        <f>B62-(B62/100*3.84)</f>
        <v>0.59619199999999994</v>
      </c>
      <c r="D62" s="19">
        <f>C62-(C62/100*3.5)</f>
        <v>0.57532527999999994</v>
      </c>
      <c r="E62" s="27">
        <v>48</v>
      </c>
      <c r="F62" s="28"/>
      <c r="G62" s="22" t="s">
        <v>245</v>
      </c>
      <c r="H62" s="17">
        <v>9.36</v>
      </c>
      <c r="I62" s="11">
        <f t="shared" ref="I62:I67" si="19">H62-(H62/100*3.84)</f>
        <v>9.0005759999999988</v>
      </c>
      <c r="J62" s="11">
        <f>I62/125*120</f>
        <v>8.6405529599999973</v>
      </c>
      <c r="K62" s="24"/>
      <c r="L62" s="138"/>
      <c r="M62" s="138"/>
      <c r="N62" s="138"/>
      <c r="O62" s="138"/>
      <c r="P62" s="139"/>
      <c r="Q62" s="139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</row>
    <row r="63" spans="1:30" s="141" customFormat="1" ht="15" customHeight="1" x14ac:dyDescent="0.2">
      <c r="A63" s="13" t="s">
        <v>24</v>
      </c>
      <c r="B63" s="17">
        <v>0.46</v>
      </c>
      <c r="C63" s="19">
        <f>B63-(B63/100*3.84)</f>
        <v>0.44233600000000001</v>
      </c>
      <c r="D63" s="19">
        <f>C63-(C63/100*4)</f>
        <v>0.42464256</v>
      </c>
      <c r="E63" s="27">
        <v>80</v>
      </c>
      <c r="F63" s="28"/>
      <c r="G63" s="22" t="s">
        <v>246</v>
      </c>
      <c r="H63" s="17">
        <v>34.520000000000003</v>
      </c>
      <c r="I63" s="11">
        <f t="shared" si="19"/>
        <v>33.194432000000006</v>
      </c>
      <c r="J63" s="11">
        <f>I63/125*119.96</f>
        <v>31.856032501760001</v>
      </c>
      <c r="K63" s="18"/>
      <c r="L63" s="138"/>
      <c r="M63" s="138"/>
      <c r="N63" s="138"/>
      <c r="O63" s="138"/>
      <c r="P63" s="139"/>
      <c r="Q63" s="139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</row>
    <row r="64" spans="1:30" s="141" customFormat="1" ht="17.25" customHeight="1" x14ac:dyDescent="0.2">
      <c r="A64" s="13" t="s">
        <v>25</v>
      </c>
      <c r="B64" s="17">
        <v>0.65</v>
      </c>
      <c r="C64" s="19">
        <f>B64-(B64/100*15)</f>
        <v>0.55249999999999999</v>
      </c>
      <c r="D64" s="19">
        <f>B64-(B64/100*20)</f>
        <v>0.52</v>
      </c>
      <c r="E64" s="27">
        <v>84</v>
      </c>
      <c r="F64" s="48"/>
      <c r="G64" s="50" t="s">
        <v>247</v>
      </c>
      <c r="H64" s="17">
        <v>13.26</v>
      </c>
      <c r="I64" s="11">
        <f>H64-(H64/100*3.84)</f>
        <v>12.750816</v>
      </c>
      <c r="J64" s="11">
        <f>I64-(I64/100*4)</f>
        <v>12.24078336</v>
      </c>
      <c r="K64" s="18"/>
      <c r="L64" s="138"/>
      <c r="M64" s="138"/>
      <c r="N64" s="138"/>
      <c r="O64" s="138"/>
      <c r="P64" s="139"/>
      <c r="Q64" s="139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</row>
    <row r="65" spans="1:30" s="141" customFormat="1" ht="15" customHeight="1" x14ac:dyDescent="0.2">
      <c r="A65" s="36" t="s">
        <v>428</v>
      </c>
      <c r="B65" s="37">
        <v>0.42</v>
      </c>
      <c r="C65" s="38">
        <f>B65-(B65/100*15)</f>
        <v>0.35699999999999998</v>
      </c>
      <c r="D65" s="19">
        <f>B65-(B65/100*20)</f>
        <v>0.33599999999999997</v>
      </c>
      <c r="E65" s="39">
        <v>80</v>
      </c>
      <c r="F65" s="16"/>
      <c r="G65" s="51" t="s">
        <v>407</v>
      </c>
      <c r="H65" s="14">
        <v>11.18</v>
      </c>
      <c r="I65" s="11">
        <f t="shared" si="19"/>
        <v>10.750688</v>
      </c>
      <c r="J65" s="11">
        <f>I65-(I65/100*3.96)</f>
        <v>10.324960755199999</v>
      </c>
      <c r="K65" s="18"/>
      <c r="M65" s="138"/>
      <c r="N65" s="138"/>
      <c r="O65" s="138"/>
      <c r="P65" s="139"/>
      <c r="Q65" s="139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</row>
    <row r="66" spans="1:30" s="141" customFormat="1" ht="15" customHeight="1" x14ac:dyDescent="0.2">
      <c r="A66" s="36" t="s">
        <v>157</v>
      </c>
      <c r="B66" s="37">
        <v>1.46</v>
      </c>
      <c r="C66" s="38">
        <f>B66-(B66/100*10)</f>
        <v>1.3140000000000001</v>
      </c>
      <c r="D66" s="19">
        <f>B66-(B66/100*20)</f>
        <v>1.1679999999999999</v>
      </c>
      <c r="E66" s="39" t="s">
        <v>158</v>
      </c>
      <c r="F66" s="16"/>
      <c r="G66" s="50" t="s">
        <v>248</v>
      </c>
      <c r="H66" s="17">
        <v>10.14</v>
      </c>
      <c r="I66" s="11">
        <f>H66-(H66/100*3.89)</f>
        <v>9.7455540000000003</v>
      </c>
      <c r="J66" s="11">
        <f t="shared" ref="J66:J82" si="20">I66/125*120</f>
        <v>9.3557318400000007</v>
      </c>
      <c r="K66" s="18"/>
      <c r="L66" s="138"/>
      <c r="M66" s="138"/>
      <c r="N66" s="138"/>
      <c r="O66" s="138"/>
      <c r="P66" s="139"/>
      <c r="Q66" s="139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</row>
    <row r="67" spans="1:30" s="141" customFormat="1" ht="13.5" customHeight="1" x14ac:dyDescent="0.2">
      <c r="A67" s="13" t="s">
        <v>358</v>
      </c>
      <c r="B67" s="17">
        <v>1.25</v>
      </c>
      <c r="C67" s="42">
        <f>B67-(B67/100*15)</f>
        <v>1.0625</v>
      </c>
      <c r="D67" s="42">
        <f>B67-(B67/100*20)</f>
        <v>1</v>
      </c>
      <c r="E67" s="27">
        <v>16</v>
      </c>
      <c r="F67" s="16"/>
      <c r="G67" s="13" t="s">
        <v>406</v>
      </c>
      <c r="H67" s="17">
        <v>7.15</v>
      </c>
      <c r="I67" s="23">
        <f t="shared" si="19"/>
        <v>6.8754400000000002</v>
      </c>
      <c r="J67" s="11">
        <f t="shared" si="20"/>
        <v>6.6004224000000002</v>
      </c>
      <c r="K67" s="18">
        <v>1</v>
      </c>
      <c r="L67" s="138"/>
      <c r="M67" s="138"/>
      <c r="N67" s="138"/>
      <c r="O67" s="138"/>
      <c r="P67" s="139"/>
      <c r="Q67" s="139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</row>
    <row r="68" spans="1:30" s="141" customFormat="1" ht="24" customHeight="1" x14ac:dyDescent="0.2">
      <c r="A68" s="165" t="s">
        <v>26</v>
      </c>
      <c r="B68" s="165"/>
      <c r="C68" s="165"/>
      <c r="D68" s="165"/>
      <c r="E68" s="165"/>
      <c r="F68" s="16"/>
      <c r="G68" s="13" t="s">
        <v>405</v>
      </c>
      <c r="H68" s="17">
        <v>7.87</v>
      </c>
      <c r="I68" s="23">
        <f>H68-(H68/100*3.9)</f>
        <v>7.5630699999999997</v>
      </c>
      <c r="J68" s="23">
        <f>I68-(I68/100*4)</f>
        <v>7.2605471999999995</v>
      </c>
      <c r="K68" s="18"/>
      <c r="L68" s="138"/>
      <c r="M68" s="138"/>
      <c r="N68" s="138"/>
      <c r="O68" s="138"/>
      <c r="P68" s="139"/>
      <c r="Q68" s="139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</row>
    <row r="69" spans="1:30" s="141" customFormat="1" ht="15" customHeight="1" x14ac:dyDescent="0.2">
      <c r="A69" s="10" t="s">
        <v>609</v>
      </c>
      <c r="B69" s="11">
        <v>1.23</v>
      </c>
      <c r="C69" s="6">
        <f>B69-(B69/100*14.5)</f>
        <v>1.05165</v>
      </c>
      <c r="D69" s="6">
        <f>B69-(B69/100*20.2)</f>
        <v>0.98153999999999997</v>
      </c>
      <c r="E69" s="34">
        <v>35</v>
      </c>
      <c r="F69" s="16"/>
      <c r="G69" s="155" t="s">
        <v>257</v>
      </c>
      <c r="H69" s="54">
        <v>1.56</v>
      </c>
      <c r="I69" s="11">
        <f>H69-(H69/100*3.84)</f>
        <v>1.5000960000000001</v>
      </c>
      <c r="J69" s="11">
        <f>I69/125*120</f>
        <v>1.4400921600000001</v>
      </c>
      <c r="K69" s="18">
        <v>30</v>
      </c>
      <c r="L69" s="138"/>
      <c r="M69" s="138"/>
      <c r="N69" s="138"/>
      <c r="O69" s="138"/>
      <c r="P69" s="139"/>
      <c r="Q69" s="139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</row>
    <row r="70" spans="1:30" s="141" customFormat="1" ht="15" customHeight="1" x14ac:dyDescent="0.2">
      <c r="A70" s="25" t="s">
        <v>450</v>
      </c>
      <c r="B70" s="17">
        <v>1.1000000000000001</v>
      </c>
      <c r="C70" s="6">
        <f>B70-(B70/100*15.9)</f>
        <v>0.92510000000000003</v>
      </c>
      <c r="D70" s="6">
        <f>B70-(B70/100*20)</f>
        <v>0.88000000000000012</v>
      </c>
      <c r="E70" s="27">
        <v>35</v>
      </c>
      <c r="F70" s="16"/>
      <c r="G70" s="13" t="s">
        <v>258</v>
      </c>
      <c r="H70" s="17">
        <v>0.98</v>
      </c>
      <c r="I70" s="11">
        <f t="shared" ref="I70:I75" si="21">H70-(H70/100*3.84)</f>
        <v>0.94236799999999998</v>
      </c>
      <c r="J70" s="23">
        <f>I70/125*119</f>
        <v>0.89713433599999992</v>
      </c>
      <c r="K70" s="24">
        <v>20</v>
      </c>
      <c r="L70" s="138"/>
      <c r="M70" s="138"/>
      <c r="N70" s="138"/>
      <c r="O70" s="138"/>
      <c r="P70" s="139"/>
      <c r="Q70" s="139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</row>
    <row r="71" spans="1:30" s="141" customFormat="1" ht="15" customHeight="1" x14ac:dyDescent="0.2">
      <c r="A71" s="25" t="s">
        <v>193</v>
      </c>
      <c r="B71" s="17">
        <v>1.46</v>
      </c>
      <c r="C71" s="6">
        <f>B71-(B71/100*15)</f>
        <v>1.2409999999999999</v>
      </c>
      <c r="D71" s="6">
        <f>B71-(B71/100*20)</f>
        <v>1.1679999999999999</v>
      </c>
      <c r="E71" s="27">
        <v>26</v>
      </c>
      <c r="F71" s="53"/>
      <c r="G71" s="13" t="s">
        <v>392</v>
      </c>
      <c r="H71" s="17">
        <v>1.81</v>
      </c>
      <c r="I71" s="11">
        <f t="shared" si="21"/>
        <v>1.740496</v>
      </c>
      <c r="J71" s="11">
        <f>I71-(I71/100*3.84)</f>
        <v>1.6736609536</v>
      </c>
      <c r="K71" s="11"/>
      <c r="L71" s="138"/>
      <c r="M71" s="138"/>
      <c r="N71" s="139"/>
      <c r="O71" s="139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</row>
    <row r="72" spans="1:30" s="141" customFormat="1" ht="15" customHeight="1" x14ac:dyDescent="0.2">
      <c r="A72" s="155" t="s">
        <v>526</v>
      </c>
      <c r="B72" s="17">
        <v>0.92</v>
      </c>
      <c r="C72" s="6">
        <f>B72-(B72/100*3)</f>
        <v>0.89240000000000008</v>
      </c>
      <c r="D72" s="6">
        <f>C72-(C72/100*5)</f>
        <v>0.84778000000000009</v>
      </c>
      <c r="E72" s="27"/>
      <c r="F72" s="16"/>
      <c r="G72" s="13" t="s">
        <v>256</v>
      </c>
      <c r="H72" s="17">
        <v>4.8899999999999997</v>
      </c>
      <c r="I72" s="11">
        <f t="shared" si="21"/>
        <v>4.7022239999999993</v>
      </c>
      <c r="J72" s="11">
        <f t="shared" si="20"/>
        <v>4.5141350399999993</v>
      </c>
      <c r="K72" s="18"/>
      <c r="L72" s="138"/>
      <c r="M72" s="138"/>
      <c r="N72" s="139"/>
      <c r="O72" s="139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</row>
    <row r="73" spans="1:30" s="141" customFormat="1" ht="15" customHeight="1" x14ac:dyDescent="0.2">
      <c r="A73" s="46" t="s">
        <v>497</v>
      </c>
      <c r="B73" s="17">
        <v>1.45</v>
      </c>
      <c r="C73" s="14">
        <f>B73-(B73/100*15)</f>
        <v>1.2324999999999999</v>
      </c>
      <c r="D73" s="14">
        <f>C73-(C73/100*6)</f>
        <v>1.15855</v>
      </c>
      <c r="E73" s="30">
        <v>30</v>
      </c>
      <c r="F73" s="16"/>
      <c r="G73" s="25" t="s">
        <v>255</v>
      </c>
      <c r="H73" s="17">
        <v>2.96</v>
      </c>
      <c r="I73" s="11">
        <f>H73-(H73/100*4.5)</f>
        <v>2.8268</v>
      </c>
      <c r="J73" s="11">
        <f t="shared" si="20"/>
        <v>2.7137280000000001</v>
      </c>
      <c r="K73" s="18">
        <v>36</v>
      </c>
      <c r="L73" s="138"/>
      <c r="M73" s="138"/>
      <c r="N73" s="139"/>
      <c r="O73" s="139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</row>
    <row r="74" spans="1:30" s="141" customFormat="1" ht="15" customHeight="1" x14ac:dyDescent="0.2">
      <c r="A74" s="47" t="s">
        <v>610</v>
      </c>
      <c r="B74" s="17">
        <v>0.74</v>
      </c>
      <c r="C74" s="14">
        <f>B74-(B74/100*15)</f>
        <v>0.629</v>
      </c>
      <c r="D74" s="14">
        <f>B74-(B74/100*20)</f>
        <v>0.59199999999999997</v>
      </c>
      <c r="E74" s="20">
        <v>35</v>
      </c>
      <c r="F74" s="28"/>
      <c r="G74" s="25" t="s">
        <v>249</v>
      </c>
      <c r="H74" s="17">
        <v>2.38</v>
      </c>
      <c r="I74" s="11">
        <f t="shared" si="21"/>
        <v>2.288608</v>
      </c>
      <c r="J74" s="11">
        <f>I74/125*120</f>
        <v>2.1970636800000003</v>
      </c>
      <c r="K74" s="24"/>
      <c r="L74" s="138"/>
      <c r="M74" s="138"/>
      <c r="N74" s="139"/>
      <c r="O74" s="139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</row>
    <row r="75" spans="1:30" s="141" customFormat="1" ht="15" customHeight="1" x14ac:dyDescent="0.2">
      <c r="A75" s="47" t="s">
        <v>191</v>
      </c>
      <c r="B75" s="17">
        <v>0.92</v>
      </c>
      <c r="C75" s="17">
        <f>B75-(B75/100*3.5)</f>
        <v>0.88780000000000003</v>
      </c>
      <c r="D75" s="17">
        <f>C75/125*120</f>
        <v>0.85228800000000005</v>
      </c>
      <c r="E75" s="20">
        <v>60</v>
      </c>
      <c r="F75" s="28"/>
      <c r="G75" s="13" t="s">
        <v>237</v>
      </c>
      <c r="H75" s="17">
        <v>7.1</v>
      </c>
      <c r="I75" s="11">
        <f t="shared" si="21"/>
        <v>6.8273599999999997</v>
      </c>
      <c r="J75" s="11">
        <f>I75/125*120</f>
        <v>6.554265599999999</v>
      </c>
      <c r="K75" s="24">
        <v>45</v>
      </c>
      <c r="L75" s="138"/>
      <c r="M75" s="138"/>
      <c r="N75" s="139"/>
      <c r="O75" s="139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</row>
    <row r="76" spans="1:30" s="141" customFormat="1" ht="17.25" customHeight="1" x14ac:dyDescent="0.2">
      <c r="A76" s="47" t="s">
        <v>467</v>
      </c>
      <c r="B76" s="17">
        <v>1.71</v>
      </c>
      <c r="C76" s="17">
        <f>B76-(B76/100*14.5)</f>
        <v>1.4620500000000001</v>
      </c>
      <c r="D76" s="17">
        <f>B76-(B76/100*20)</f>
        <v>1.3679999999999999</v>
      </c>
      <c r="E76" s="20">
        <v>20</v>
      </c>
      <c r="F76" s="28"/>
      <c r="G76" s="25" t="s">
        <v>362</v>
      </c>
      <c r="H76" s="17">
        <v>3.25</v>
      </c>
      <c r="I76" s="11">
        <f>H76-(H76/100*3.7)</f>
        <v>3.12975</v>
      </c>
      <c r="J76" s="11">
        <f>I76/125*120</f>
        <v>3.0045600000000001</v>
      </c>
      <c r="K76" s="18">
        <v>20</v>
      </c>
      <c r="L76" s="138"/>
      <c r="M76" s="138"/>
      <c r="N76" s="138"/>
      <c r="O76" s="138"/>
      <c r="P76" s="139"/>
      <c r="Q76" s="139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</row>
    <row r="77" spans="1:30" s="141" customFormat="1" ht="15" customHeight="1" x14ac:dyDescent="0.2">
      <c r="A77" s="25" t="s">
        <v>462</v>
      </c>
      <c r="B77" s="17">
        <v>1.89</v>
      </c>
      <c r="C77" s="6">
        <f>B77-(B77/100*15.5)</f>
        <v>1.5970499999999999</v>
      </c>
      <c r="D77" s="17">
        <f>B77-(B77/100*20)</f>
        <v>1.512</v>
      </c>
      <c r="E77" s="27">
        <v>30</v>
      </c>
      <c r="F77" s="28"/>
      <c r="G77" s="25" t="s">
        <v>452</v>
      </c>
      <c r="H77" s="17">
        <v>0.85</v>
      </c>
      <c r="I77" s="11">
        <f>H77-(H77/100*4.9)</f>
        <v>0.80835000000000001</v>
      </c>
      <c r="J77" s="11">
        <f>I77/125*120</f>
        <v>0.77601600000000004</v>
      </c>
      <c r="K77" s="18">
        <v>15</v>
      </c>
      <c r="L77" s="138"/>
      <c r="M77" s="138"/>
      <c r="N77" s="138"/>
      <c r="O77" s="138"/>
      <c r="P77" s="139"/>
      <c r="Q77" s="139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</row>
    <row r="78" spans="1:30" s="141" customFormat="1" ht="15" customHeight="1" x14ac:dyDescent="0.2">
      <c r="A78" s="13" t="s">
        <v>468</v>
      </c>
      <c r="B78" s="17">
        <v>2.86</v>
      </c>
      <c r="C78" s="6">
        <f>B78-(B78/100*15.2)</f>
        <v>2.4252799999999999</v>
      </c>
      <c r="D78" s="17">
        <f>B78-(B78/100*20)</f>
        <v>2.2879999999999998</v>
      </c>
      <c r="E78" s="27">
        <v>15</v>
      </c>
      <c r="F78" s="28"/>
      <c r="G78" s="25" t="s">
        <v>281</v>
      </c>
      <c r="H78" s="17">
        <v>1.6</v>
      </c>
      <c r="I78" s="11">
        <f>H78-(H78/100*3.84)</f>
        <v>1.5385600000000001</v>
      </c>
      <c r="J78" s="11">
        <f>I78/125*120</f>
        <v>1.4770176000000002</v>
      </c>
      <c r="K78" s="18">
        <v>30</v>
      </c>
      <c r="L78" s="138"/>
      <c r="M78" s="138"/>
      <c r="N78" s="138"/>
      <c r="O78" s="138"/>
      <c r="P78" s="139"/>
      <c r="Q78" s="139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</row>
    <row r="79" spans="1:30" s="141" customFormat="1" ht="15" customHeight="1" x14ac:dyDescent="0.2">
      <c r="A79" s="13" t="s">
        <v>336</v>
      </c>
      <c r="B79" s="17">
        <v>0.68</v>
      </c>
      <c r="C79" s="6">
        <v>0.65</v>
      </c>
      <c r="D79" s="17">
        <v>0.62</v>
      </c>
      <c r="E79" s="27">
        <v>40</v>
      </c>
      <c r="F79" s="28"/>
      <c r="G79" s="13" t="s">
        <v>250</v>
      </c>
      <c r="H79" s="17">
        <v>1.17</v>
      </c>
      <c r="I79" s="11">
        <f>H79-(H79/100*3.84)</f>
        <v>1.1250719999999998</v>
      </c>
      <c r="J79" s="11">
        <f t="shared" si="20"/>
        <v>1.0800691199999997</v>
      </c>
      <c r="K79" s="18">
        <v>12</v>
      </c>
      <c r="L79" s="138"/>
      <c r="M79" s="138"/>
      <c r="N79" s="138"/>
      <c r="O79" s="138"/>
      <c r="P79" s="139"/>
      <c r="Q79" s="139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</row>
    <row r="80" spans="1:30" s="141" customFormat="1" ht="15" customHeight="1" x14ac:dyDescent="0.2">
      <c r="A80" s="25" t="s">
        <v>192</v>
      </c>
      <c r="B80" s="6">
        <v>1.07</v>
      </c>
      <c r="C80" s="11">
        <f t="shared" ref="C80:C95" si="22">B80-(B80/100*15)</f>
        <v>0.90949999999999998</v>
      </c>
      <c r="D80" s="11">
        <f>B80-(B80/100*20.5)</f>
        <v>0.85065000000000002</v>
      </c>
      <c r="E80" s="49">
        <v>40</v>
      </c>
      <c r="F80" s="28"/>
      <c r="G80" s="13" t="s">
        <v>251</v>
      </c>
      <c r="H80" s="17">
        <v>1.69</v>
      </c>
      <c r="I80" s="23">
        <f>H80-(H80/100*3.84)</f>
        <v>1.6251039999999999</v>
      </c>
      <c r="J80" s="11">
        <f t="shared" si="20"/>
        <v>1.5600998399999999</v>
      </c>
      <c r="K80" s="18">
        <v>18</v>
      </c>
      <c r="L80" s="138"/>
      <c r="M80" s="138"/>
      <c r="N80" s="138"/>
      <c r="O80" s="138"/>
      <c r="P80" s="139"/>
      <c r="Q80" s="139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</row>
    <row r="81" spans="1:30" s="141" customFormat="1" ht="16.5" customHeight="1" x14ac:dyDescent="0.2">
      <c r="A81" s="44" t="s">
        <v>470</v>
      </c>
      <c r="B81" s="17">
        <v>1.52</v>
      </c>
      <c r="C81" s="6">
        <f t="shared" si="22"/>
        <v>1.292</v>
      </c>
      <c r="D81" s="11">
        <f>B81-(B81/100*20.5)</f>
        <v>1.2084000000000001</v>
      </c>
      <c r="E81" s="20">
        <v>30</v>
      </c>
      <c r="F81" s="28"/>
      <c r="G81" s="25" t="s">
        <v>252</v>
      </c>
      <c r="H81" s="17">
        <v>1.63</v>
      </c>
      <c r="I81" s="23">
        <f>H81-(H81/100*4)</f>
        <v>1.5648</v>
      </c>
      <c r="J81" s="11">
        <f t="shared" si="20"/>
        <v>1.502208</v>
      </c>
      <c r="K81" s="18"/>
      <c r="L81" s="138"/>
      <c r="M81" s="138"/>
      <c r="N81" s="138"/>
      <c r="O81" s="138"/>
      <c r="P81" s="139"/>
      <c r="Q81" s="139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</row>
    <row r="82" spans="1:30" s="141" customFormat="1" ht="15" customHeight="1" x14ac:dyDescent="0.2">
      <c r="A82" s="44" t="s">
        <v>463</v>
      </c>
      <c r="B82" s="17">
        <v>7.42</v>
      </c>
      <c r="C82" s="6">
        <f t="shared" si="22"/>
        <v>6.3070000000000004</v>
      </c>
      <c r="D82" s="11">
        <f>B82-(B82/100*20)</f>
        <v>5.9359999999999999</v>
      </c>
      <c r="E82" s="20">
        <v>10</v>
      </c>
      <c r="F82" s="28"/>
      <c r="G82" s="13" t="s">
        <v>253</v>
      </c>
      <c r="H82" s="17">
        <v>6.5</v>
      </c>
      <c r="I82" s="11">
        <f>H82-(H82/100*3.84)</f>
        <v>6.2504</v>
      </c>
      <c r="J82" s="11">
        <f t="shared" si="20"/>
        <v>6.0003839999999995</v>
      </c>
      <c r="K82" s="18"/>
      <c r="L82" s="138"/>
      <c r="M82" s="138"/>
      <c r="N82" s="138"/>
      <c r="O82" s="138"/>
      <c r="P82" s="139"/>
      <c r="Q82" s="139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</row>
    <row r="83" spans="1:30" s="141" customFormat="1" ht="15" customHeight="1" x14ac:dyDescent="0.2">
      <c r="A83" s="52" t="s">
        <v>469</v>
      </c>
      <c r="B83" s="17">
        <v>2.41</v>
      </c>
      <c r="C83" s="6">
        <f t="shared" si="22"/>
        <v>2.0485000000000002</v>
      </c>
      <c r="D83" s="11">
        <f>B83-(B83/100*20)</f>
        <v>1.9280000000000002</v>
      </c>
      <c r="E83" s="20">
        <v>15</v>
      </c>
      <c r="F83" s="56"/>
      <c r="G83" s="25" t="s">
        <v>254</v>
      </c>
      <c r="H83" s="17">
        <v>5.34</v>
      </c>
      <c r="I83" s="11">
        <f>H83-(H83/100*3.7)</f>
        <v>5.1424199999999995</v>
      </c>
      <c r="J83" s="11">
        <f>I83/125*119.8</f>
        <v>4.9284953279999995</v>
      </c>
      <c r="K83" s="18"/>
      <c r="L83" s="138"/>
      <c r="M83" s="129"/>
      <c r="N83" s="129"/>
      <c r="O83" s="138"/>
    </row>
    <row r="84" spans="1:30" s="141" customFormat="1" ht="15" customHeight="1" x14ac:dyDescent="0.2">
      <c r="A84" s="52" t="s">
        <v>142</v>
      </c>
      <c r="B84" s="17">
        <v>0.16</v>
      </c>
      <c r="C84" s="6">
        <f t="shared" si="22"/>
        <v>0.13600000000000001</v>
      </c>
      <c r="D84" s="11">
        <f>B84-(B84/100*20)</f>
        <v>0.128</v>
      </c>
      <c r="E84" s="20">
        <v>50</v>
      </c>
      <c r="F84" s="28"/>
      <c r="G84" s="13" t="s">
        <v>272</v>
      </c>
      <c r="H84" s="148">
        <v>1.44</v>
      </c>
      <c r="I84" s="32">
        <f>H84-(H84/100*3.7)</f>
        <v>1.38672</v>
      </c>
      <c r="J84" s="17">
        <f>I84-(I84/100*4)</f>
        <v>1.3312511999999999</v>
      </c>
      <c r="K84" s="18">
        <v>18</v>
      </c>
      <c r="L84" s="138"/>
      <c r="M84" s="138"/>
      <c r="N84" s="138"/>
      <c r="O84" s="138"/>
    </row>
    <row r="85" spans="1:30" s="133" customFormat="1" ht="15" customHeight="1" x14ac:dyDescent="0.2">
      <c r="A85" s="52" t="s">
        <v>27</v>
      </c>
      <c r="B85" s="17">
        <v>0.23</v>
      </c>
      <c r="C85" s="6">
        <f t="shared" si="22"/>
        <v>0.19550000000000001</v>
      </c>
      <c r="D85" s="6">
        <f t="shared" ref="D85:D95" si="23">B85-(B85/100*20)</f>
        <v>0.184</v>
      </c>
      <c r="E85" s="20">
        <v>50</v>
      </c>
      <c r="F85" s="41"/>
      <c r="G85" s="13" t="s">
        <v>271</v>
      </c>
      <c r="H85" s="156">
        <v>1.54</v>
      </c>
      <c r="I85" s="14">
        <f>H85-(H85/100*3.84)</f>
        <v>1.480864</v>
      </c>
      <c r="J85" s="14">
        <f>I85/125*120</f>
        <v>1.42162944</v>
      </c>
      <c r="K85" s="22">
        <v>12</v>
      </c>
      <c r="L85" s="138"/>
      <c r="M85" s="138"/>
      <c r="N85" s="138"/>
      <c r="O85" s="129"/>
    </row>
    <row r="86" spans="1:30" s="141" customFormat="1" ht="15" customHeight="1" x14ac:dyDescent="0.2">
      <c r="A86" s="50" t="s">
        <v>28</v>
      </c>
      <c r="B86" s="17">
        <v>0.28999999999999998</v>
      </c>
      <c r="C86" s="6">
        <f t="shared" si="22"/>
        <v>0.2465</v>
      </c>
      <c r="D86" s="6">
        <f t="shared" si="23"/>
        <v>0.23199999999999998</v>
      </c>
      <c r="E86" s="20">
        <v>50</v>
      </c>
      <c r="F86" s="9"/>
      <c r="G86" s="25" t="s">
        <v>531</v>
      </c>
      <c r="H86" s="17">
        <v>1.77</v>
      </c>
      <c r="I86" s="11">
        <f>H86-(H86/100*3.84)</f>
        <v>1.702032</v>
      </c>
      <c r="J86" s="11">
        <f>I86-(I86/100*4.5)</f>
        <v>1.6254405599999999</v>
      </c>
      <c r="K86" s="18">
        <v>30</v>
      </c>
      <c r="L86" s="129"/>
      <c r="M86" s="138"/>
      <c r="N86" s="138"/>
      <c r="O86" s="138"/>
    </row>
    <row r="87" spans="1:30" s="141" customFormat="1" ht="15" customHeight="1" x14ac:dyDescent="0.2">
      <c r="A87" s="25" t="s">
        <v>447</v>
      </c>
      <c r="B87" s="17">
        <v>4.92</v>
      </c>
      <c r="C87" s="6">
        <f t="shared" si="22"/>
        <v>4.1820000000000004</v>
      </c>
      <c r="D87" s="6">
        <f t="shared" si="23"/>
        <v>3.9359999999999999</v>
      </c>
      <c r="E87" s="20">
        <v>10</v>
      </c>
      <c r="F87" s="16"/>
      <c r="G87" s="25" t="s">
        <v>279</v>
      </c>
      <c r="H87" s="17">
        <v>7.29</v>
      </c>
      <c r="I87" s="11">
        <f>H87-(H87/100*15)</f>
        <v>6.1965000000000003</v>
      </c>
      <c r="J87" s="11">
        <f>H87-(H87/100*20)</f>
        <v>5.8319999999999999</v>
      </c>
      <c r="K87" s="18"/>
      <c r="L87" s="138"/>
      <c r="M87" s="138"/>
      <c r="N87" s="138"/>
      <c r="O87" s="138"/>
    </row>
    <row r="88" spans="1:30" s="141" customFormat="1" ht="15" customHeight="1" x14ac:dyDescent="0.2">
      <c r="A88" s="25" t="s">
        <v>471</v>
      </c>
      <c r="B88" s="17">
        <v>2.17</v>
      </c>
      <c r="C88" s="6">
        <f t="shared" si="22"/>
        <v>1.8445</v>
      </c>
      <c r="D88" s="6">
        <f>B88-(B88/100*20.1)</f>
        <v>1.7338299999999998</v>
      </c>
      <c r="E88" s="27">
        <v>20</v>
      </c>
      <c r="F88" s="16"/>
      <c r="G88" s="25" t="s">
        <v>283</v>
      </c>
      <c r="H88" s="17">
        <v>1.38</v>
      </c>
      <c r="I88" s="11">
        <f>H88-(H88/100*3.5)</f>
        <v>1.3316999999999999</v>
      </c>
      <c r="J88" s="11">
        <f>I88-(I88/100*4.5)</f>
        <v>1.2717734999999999</v>
      </c>
      <c r="K88" s="18"/>
      <c r="L88" s="138"/>
      <c r="M88" s="138"/>
      <c r="N88" s="138"/>
      <c r="O88" s="138"/>
    </row>
    <row r="89" spans="1:30" s="141" customFormat="1" ht="15" customHeight="1" x14ac:dyDescent="0.2">
      <c r="A89" s="25" t="s">
        <v>29</v>
      </c>
      <c r="B89" s="17">
        <v>0.36</v>
      </c>
      <c r="C89" s="6">
        <f t="shared" si="22"/>
        <v>0.30599999999999999</v>
      </c>
      <c r="D89" s="6">
        <f t="shared" si="23"/>
        <v>0.28799999999999998</v>
      </c>
      <c r="E89" s="27">
        <v>100</v>
      </c>
      <c r="F89" s="61"/>
      <c r="G89" s="62" t="s">
        <v>280</v>
      </c>
      <c r="H89" s="63">
        <v>5.23</v>
      </c>
      <c r="I89" s="11">
        <f>H89-(H89/100*3.84)</f>
        <v>5.0291680000000003</v>
      </c>
      <c r="J89" s="11">
        <f>I89/125*119.7</f>
        <v>4.8159312768000007</v>
      </c>
      <c r="K89" s="18">
        <v>12</v>
      </c>
      <c r="L89" s="138"/>
      <c r="M89" s="138"/>
      <c r="N89" s="138"/>
      <c r="O89" s="138"/>
    </row>
    <row r="90" spans="1:30" s="141" customFormat="1" ht="15" customHeight="1" x14ac:dyDescent="0.2">
      <c r="A90" s="25" t="s">
        <v>448</v>
      </c>
      <c r="B90" s="17">
        <v>2.73</v>
      </c>
      <c r="C90" s="6">
        <f>B90-(B90/100*15)</f>
        <v>2.3205</v>
      </c>
      <c r="D90" s="6">
        <f>B90-(B90/100*20)</f>
        <v>2.1840000000000002</v>
      </c>
      <c r="E90" s="27">
        <v>10</v>
      </c>
      <c r="F90" s="16"/>
      <c r="G90" s="13" t="s">
        <v>338</v>
      </c>
      <c r="H90" s="17">
        <v>1.87</v>
      </c>
      <c r="I90" s="11">
        <f>H90-(H90/100*3.84)</f>
        <v>1.798192</v>
      </c>
      <c r="J90" s="11">
        <f>I90/125*120</f>
        <v>1.7262643200000001</v>
      </c>
      <c r="K90" s="18">
        <v>12</v>
      </c>
      <c r="L90" s="138"/>
      <c r="M90" s="138"/>
      <c r="N90" s="138"/>
      <c r="O90" s="138"/>
    </row>
    <row r="91" spans="1:30" s="141" customFormat="1" ht="17.25" customHeight="1" x14ac:dyDescent="0.2">
      <c r="A91" s="25" t="s">
        <v>30</v>
      </c>
      <c r="B91" s="17">
        <v>4.04</v>
      </c>
      <c r="C91" s="6">
        <f>B91-(B91/100*14.8)</f>
        <v>3.4420799999999998</v>
      </c>
      <c r="D91" s="6">
        <f>B91-(B91/100*19.7)</f>
        <v>3.2441200000000001</v>
      </c>
      <c r="E91" s="27">
        <v>10</v>
      </c>
      <c r="F91" s="16"/>
      <c r="G91" s="13" t="s">
        <v>282</v>
      </c>
      <c r="H91" s="17">
        <v>4.62</v>
      </c>
      <c r="I91" s="11">
        <f>H91-(H91/100*3.84)</f>
        <v>4.4425920000000003</v>
      </c>
      <c r="J91" s="11">
        <f t="shared" ref="J91:J98" si="24">I91/125*120</f>
        <v>4.2648883200000007</v>
      </c>
      <c r="K91" s="18">
        <v>24</v>
      </c>
      <c r="L91" s="138"/>
      <c r="M91" s="138"/>
      <c r="N91" s="138"/>
      <c r="O91" s="138"/>
    </row>
    <row r="92" spans="1:30" s="141" customFormat="1" ht="15" customHeight="1" x14ac:dyDescent="0.2">
      <c r="A92" s="51" t="s">
        <v>393</v>
      </c>
      <c r="B92" s="14">
        <v>0.43</v>
      </c>
      <c r="C92" s="6">
        <f t="shared" si="22"/>
        <v>0.36549999999999999</v>
      </c>
      <c r="D92" s="6">
        <f t="shared" si="23"/>
        <v>0.34399999999999997</v>
      </c>
      <c r="E92" s="27">
        <v>50</v>
      </c>
      <c r="F92" s="16"/>
      <c r="G92" s="66" t="s">
        <v>412</v>
      </c>
      <c r="H92" s="17">
        <v>1.56</v>
      </c>
      <c r="I92" s="17">
        <f>H92-(H92/100*4)</f>
        <v>1.4976</v>
      </c>
      <c r="J92" s="11">
        <f>I92/125*120</f>
        <v>1.4376959999999999</v>
      </c>
      <c r="K92" s="18"/>
      <c r="L92" s="138"/>
      <c r="M92" s="129"/>
      <c r="N92" s="129"/>
      <c r="O92" s="138"/>
    </row>
    <row r="93" spans="1:30" s="141" customFormat="1" ht="15" customHeight="1" x14ac:dyDescent="0.2">
      <c r="A93" s="57" t="s">
        <v>359</v>
      </c>
      <c r="B93" s="14">
        <v>0.78</v>
      </c>
      <c r="C93" s="6">
        <f>B93-(B93/100*15)</f>
        <v>0.66300000000000003</v>
      </c>
      <c r="D93" s="6">
        <f>B93-(B93/100*20)</f>
        <v>0.624</v>
      </c>
      <c r="E93" s="27">
        <v>50</v>
      </c>
      <c r="F93" s="16"/>
      <c r="G93" s="25" t="s">
        <v>273</v>
      </c>
      <c r="H93" s="17">
        <v>5.76</v>
      </c>
      <c r="I93" s="17">
        <f>H93-(H93/100*3.84)</f>
        <v>5.5388159999999997</v>
      </c>
      <c r="J93" s="11">
        <f t="shared" si="24"/>
        <v>5.3172633599999992</v>
      </c>
      <c r="K93" s="64">
        <v>12</v>
      </c>
      <c r="L93" s="138"/>
      <c r="M93" s="129"/>
      <c r="N93" s="129"/>
      <c r="O93" s="138"/>
    </row>
    <row r="94" spans="1:30" s="133" customFormat="1" ht="15" customHeight="1" x14ac:dyDescent="0.2">
      <c r="A94" s="51" t="s">
        <v>337</v>
      </c>
      <c r="B94" s="14">
        <v>0.34</v>
      </c>
      <c r="C94" s="6">
        <f>B94-(B94/100*15)</f>
        <v>0.28900000000000003</v>
      </c>
      <c r="D94" s="6">
        <f>B94-(B94/100*20)</f>
        <v>0.27200000000000002</v>
      </c>
      <c r="E94" s="27">
        <v>100</v>
      </c>
      <c r="F94" s="16"/>
      <c r="G94" s="25" t="s">
        <v>409</v>
      </c>
      <c r="H94" s="17">
        <v>3.86</v>
      </c>
      <c r="I94" s="17">
        <f>H94-(H94/100*4)</f>
        <v>3.7056</v>
      </c>
      <c r="J94" s="11">
        <f t="shared" si="24"/>
        <v>3.5573759999999996</v>
      </c>
      <c r="K94" s="65">
        <v>12</v>
      </c>
      <c r="L94" s="138"/>
      <c r="M94" s="129"/>
      <c r="N94" s="129"/>
      <c r="O94" s="129"/>
    </row>
    <row r="95" spans="1:30" s="133" customFormat="1" ht="15" customHeight="1" x14ac:dyDescent="0.2">
      <c r="A95" s="58" t="s">
        <v>465</v>
      </c>
      <c r="B95" s="59">
        <v>0.38</v>
      </c>
      <c r="C95" s="14">
        <f t="shared" si="22"/>
        <v>0.32300000000000001</v>
      </c>
      <c r="D95" s="6">
        <f t="shared" si="23"/>
        <v>0.30399999999999999</v>
      </c>
      <c r="E95" s="39">
        <v>100</v>
      </c>
      <c r="F95" s="16"/>
      <c r="G95" s="13" t="s">
        <v>274</v>
      </c>
      <c r="H95" s="17">
        <v>4.51</v>
      </c>
      <c r="I95" s="17">
        <f>H95-(H95/100*3.84)</f>
        <v>4.3368159999999998</v>
      </c>
      <c r="J95" s="17">
        <f>I95-(I95/100*4)</f>
        <v>4.1633433599999998</v>
      </c>
      <c r="K95" s="65"/>
      <c r="L95" s="129"/>
      <c r="M95" s="129"/>
      <c r="N95" s="129"/>
      <c r="O95" s="129"/>
    </row>
    <row r="96" spans="1:30" s="133" customFormat="1" ht="15" customHeight="1" x14ac:dyDescent="0.2">
      <c r="A96" s="60" t="s">
        <v>31</v>
      </c>
      <c r="B96" s="59">
        <v>0.3</v>
      </c>
      <c r="C96" s="14">
        <f>B96-(B96/100*3.84)</f>
        <v>0.28848000000000001</v>
      </c>
      <c r="D96" s="14">
        <f>C96-(C96/100*3.84)</f>
        <v>0.27740236800000001</v>
      </c>
      <c r="E96" s="39"/>
      <c r="F96" s="16"/>
      <c r="G96" s="25" t="s">
        <v>275</v>
      </c>
      <c r="H96" s="17">
        <v>1.18</v>
      </c>
      <c r="I96" s="17">
        <f>H96-(H96/100*3.5)</f>
        <v>1.1387</v>
      </c>
      <c r="J96" s="11">
        <f t="shared" si="24"/>
        <v>1.0931520000000001</v>
      </c>
      <c r="K96" s="20"/>
      <c r="L96" s="129"/>
      <c r="M96" s="129"/>
      <c r="N96" s="129"/>
      <c r="O96" s="129"/>
    </row>
    <row r="97" spans="1:15" s="133" customFormat="1" ht="19.5" customHeight="1" x14ac:dyDescent="0.2">
      <c r="A97" s="165" t="s">
        <v>32</v>
      </c>
      <c r="B97" s="165"/>
      <c r="C97" s="165"/>
      <c r="D97" s="165"/>
      <c r="E97" s="165"/>
      <c r="F97" s="16"/>
      <c r="G97" s="25" t="s">
        <v>209</v>
      </c>
      <c r="H97" s="17">
        <v>4.16</v>
      </c>
      <c r="I97" s="17">
        <f>H97-(H97/100*3.84)</f>
        <v>4.0002560000000003</v>
      </c>
      <c r="J97" s="11">
        <f>I97/125*120</f>
        <v>3.8402457600000006</v>
      </c>
      <c r="K97" s="18"/>
      <c r="L97" s="129"/>
      <c r="M97" s="129"/>
      <c r="N97" s="129"/>
      <c r="O97" s="129"/>
    </row>
    <row r="98" spans="1:15" s="133" customFormat="1" ht="15" customHeight="1" x14ac:dyDescent="0.2">
      <c r="A98" s="10" t="s">
        <v>636</v>
      </c>
      <c r="B98" s="19">
        <v>1.47</v>
      </c>
      <c r="C98" s="7">
        <f>B98-(B98/100*3.84)</f>
        <v>1.4135519999999999</v>
      </c>
      <c r="D98" s="7">
        <f>B98-(B98/100*7.5)</f>
        <v>1.35975</v>
      </c>
      <c r="E98" s="8">
        <v>40</v>
      </c>
      <c r="F98" s="16"/>
      <c r="G98" s="66" t="s">
        <v>276</v>
      </c>
      <c r="H98" s="17">
        <v>4.6900000000000004</v>
      </c>
      <c r="I98" s="17">
        <f>H98-(H98/100*3.84)</f>
        <v>4.5099040000000006</v>
      </c>
      <c r="J98" s="11">
        <f t="shared" si="24"/>
        <v>4.3295078400000007</v>
      </c>
      <c r="K98" s="18">
        <v>15</v>
      </c>
      <c r="L98" s="129"/>
      <c r="M98" s="138"/>
      <c r="N98" s="138"/>
      <c r="O98" s="129"/>
    </row>
    <row r="99" spans="1:15" s="133" customFormat="1" ht="15" customHeight="1" x14ac:dyDescent="0.2">
      <c r="A99" s="10" t="s">
        <v>140</v>
      </c>
      <c r="B99" s="19">
        <v>5.2</v>
      </c>
      <c r="C99" s="7">
        <f>B99-(B99/100*3.84)</f>
        <v>5.0003200000000003</v>
      </c>
      <c r="D99" s="7">
        <f>B99-(B99/100*7.5)</f>
        <v>4.8100000000000005</v>
      </c>
      <c r="E99" s="8">
        <v>40</v>
      </c>
      <c r="F99" s="16"/>
      <c r="G99" s="66" t="s">
        <v>277</v>
      </c>
      <c r="H99" s="17">
        <v>1.43</v>
      </c>
      <c r="I99" s="17">
        <f>H99-(H99/100*3.84)</f>
        <v>1.3750879999999999</v>
      </c>
      <c r="J99" s="17">
        <f>I99-(I99/100*3.84)</f>
        <v>1.3222846207999999</v>
      </c>
      <c r="K99" s="22">
        <v>30</v>
      </c>
      <c r="L99" s="129"/>
      <c r="M99" s="138"/>
      <c r="N99" s="138"/>
      <c r="O99" s="129"/>
    </row>
    <row r="100" spans="1:15" s="141" customFormat="1" ht="15" customHeight="1" x14ac:dyDescent="0.2">
      <c r="A100" s="13" t="s">
        <v>301</v>
      </c>
      <c r="B100" s="38">
        <v>0.75</v>
      </c>
      <c r="C100" s="7">
        <f>B100-(B100/100*15.5)</f>
        <v>0.63375000000000004</v>
      </c>
      <c r="D100" s="7">
        <f>C100-(C100/100*4)</f>
        <v>0.60840000000000005</v>
      </c>
      <c r="E100" s="20">
        <v>100</v>
      </c>
      <c r="F100" s="16"/>
      <c r="G100" s="13" t="s">
        <v>292</v>
      </c>
      <c r="H100" s="17">
        <v>9.1</v>
      </c>
      <c r="I100" s="17">
        <f>H100-(H100/100*3.84)</f>
        <v>8.7505600000000001</v>
      </c>
      <c r="J100" s="11">
        <f t="shared" ref="J100:J105" si="25">I100/125*120</f>
        <v>8.4005376000000016</v>
      </c>
      <c r="K100" s="18"/>
      <c r="L100" s="129"/>
      <c r="M100" s="138"/>
      <c r="N100" s="138"/>
      <c r="O100" s="138"/>
    </row>
    <row r="101" spans="1:15" s="141" customFormat="1" ht="15" customHeight="1" x14ac:dyDescent="0.2">
      <c r="A101" s="13" t="s">
        <v>166</v>
      </c>
      <c r="B101" s="38">
        <v>0.83</v>
      </c>
      <c r="C101" s="7">
        <f>B101-(B101/100*3.84)</f>
        <v>0.79812799999999995</v>
      </c>
      <c r="D101" s="7">
        <f>C101/125*120</f>
        <v>0.76620287999999992</v>
      </c>
      <c r="E101" s="20"/>
      <c r="F101" s="67"/>
      <c r="G101" s="13" t="s">
        <v>291</v>
      </c>
      <c r="H101" s="17">
        <v>4.88</v>
      </c>
      <c r="I101" s="17">
        <f t="shared" ref="I101:I108" si="26">H101-(H101/100*3.84)</f>
        <v>4.6926079999999999</v>
      </c>
      <c r="J101" s="11">
        <f t="shared" si="25"/>
        <v>4.50490368</v>
      </c>
      <c r="K101" s="18"/>
      <c r="L101" s="138"/>
      <c r="M101" s="138"/>
      <c r="N101" s="138"/>
      <c r="O101" s="138"/>
    </row>
    <row r="102" spans="1:15" s="141" customFormat="1" ht="15" customHeight="1" x14ac:dyDescent="0.2">
      <c r="A102" s="13" t="s">
        <v>595</v>
      </c>
      <c r="B102" s="38">
        <v>4.91</v>
      </c>
      <c r="C102" s="7">
        <f>B102-(B102/100*15)</f>
        <v>4.1734999999999998</v>
      </c>
      <c r="D102" s="7">
        <f>C102/125*117.7</f>
        <v>3.9297676000000004</v>
      </c>
      <c r="E102" s="93">
        <v>40</v>
      </c>
      <c r="F102" s="16"/>
      <c r="G102" s="13" t="s">
        <v>278</v>
      </c>
      <c r="H102" s="21">
        <v>11.18</v>
      </c>
      <c r="I102" s="17">
        <f t="shared" si="26"/>
        <v>10.750688</v>
      </c>
      <c r="J102" s="11">
        <f t="shared" si="25"/>
        <v>10.320660479999999</v>
      </c>
      <c r="K102" s="18"/>
      <c r="L102" s="138"/>
      <c r="M102" s="138"/>
      <c r="N102" s="138"/>
      <c r="O102" s="138"/>
    </row>
    <row r="103" spans="1:15" s="141" customFormat="1" ht="15" customHeight="1" x14ac:dyDescent="0.2">
      <c r="A103" s="13" t="s">
        <v>503</v>
      </c>
      <c r="B103" s="17">
        <v>2.92</v>
      </c>
      <c r="C103" s="7">
        <f>B103-(B103/100*15)</f>
        <v>2.4819999999999998</v>
      </c>
      <c r="D103" s="7">
        <f>C103-(C103/100*5.7)</f>
        <v>2.3405259999999997</v>
      </c>
      <c r="E103" s="20">
        <v>20</v>
      </c>
      <c r="F103" s="16"/>
      <c r="G103" s="13" t="s">
        <v>501</v>
      </c>
      <c r="H103" s="62">
        <v>12.09</v>
      </c>
      <c r="I103" s="11">
        <f t="shared" si="26"/>
        <v>11.625743999999999</v>
      </c>
      <c r="J103" s="11">
        <f t="shared" si="25"/>
        <v>11.160714239999999</v>
      </c>
      <c r="K103" s="18">
        <v>24</v>
      </c>
      <c r="L103" s="138"/>
      <c r="M103" s="138"/>
      <c r="N103" s="138"/>
      <c r="O103" s="138"/>
    </row>
    <row r="104" spans="1:15" s="141" customFormat="1" ht="15" customHeight="1" x14ac:dyDescent="0.2">
      <c r="A104" s="13" t="s">
        <v>345</v>
      </c>
      <c r="B104" s="17">
        <v>4.07</v>
      </c>
      <c r="C104" s="7">
        <f>B104-(B104/100*15)</f>
        <v>3.4595000000000002</v>
      </c>
      <c r="D104" s="7">
        <f>C104-(C104/100*5.7)</f>
        <v>3.2623085000000001</v>
      </c>
      <c r="E104" s="20" t="s">
        <v>109</v>
      </c>
      <c r="F104" s="68"/>
      <c r="G104" s="22" t="s">
        <v>411</v>
      </c>
      <c r="H104" s="17">
        <v>2.81</v>
      </c>
      <c r="I104" s="11">
        <f>H104-(H104/100*3.84)</f>
        <v>2.7020960000000001</v>
      </c>
      <c r="J104" s="32">
        <f t="shared" si="25"/>
        <v>2.5940121600000001</v>
      </c>
      <c r="K104" s="18">
        <v>12</v>
      </c>
      <c r="L104" s="138"/>
      <c r="M104" s="138"/>
      <c r="N104" s="138"/>
      <c r="O104" s="138"/>
    </row>
    <row r="105" spans="1:15" s="141" customFormat="1" ht="15" customHeight="1" x14ac:dyDescent="0.2">
      <c r="A105" s="13" t="s">
        <v>596</v>
      </c>
      <c r="B105" s="17">
        <v>4.88</v>
      </c>
      <c r="C105" s="7">
        <f>B105-(B105/100*15.1)</f>
        <v>4.1431199999999997</v>
      </c>
      <c r="D105" s="7">
        <f>B105-(B105/100*20)</f>
        <v>3.9039999999999999</v>
      </c>
      <c r="E105" s="20">
        <v>500</v>
      </c>
      <c r="F105" s="68"/>
      <c r="G105" s="22" t="s">
        <v>410</v>
      </c>
      <c r="H105" s="17">
        <v>3.85</v>
      </c>
      <c r="I105" s="11">
        <f t="shared" si="26"/>
        <v>3.7021600000000001</v>
      </c>
      <c r="J105" s="32">
        <f t="shared" si="25"/>
        <v>3.5540735999999997</v>
      </c>
      <c r="K105" s="18">
        <v>24</v>
      </c>
      <c r="L105" s="138"/>
      <c r="M105" s="138"/>
      <c r="N105" s="138"/>
      <c r="O105" s="138"/>
    </row>
    <row r="106" spans="1:15" s="141" customFormat="1" ht="15" customHeight="1" x14ac:dyDescent="0.2">
      <c r="A106" s="13" t="s">
        <v>33</v>
      </c>
      <c r="B106" s="17">
        <v>2.46</v>
      </c>
      <c r="C106" s="63">
        <f>B106-(B106/100*15)</f>
        <v>2.0910000000000002</v>
      </c>
      <c r="D106" s="7">
        <f>B106-(B106/100*20)</f>
        <v>1.968</v>
      </c>
      <c r="E106" s="20"/>
      <c r="F106" s="68"/>
      <c r="G106" s="22" t="s">
        <v>208</v>
      </c>
      <c r="H106" s="17">
        <v>6.25</v>
      </c>
      <c r="I106" s="11">
        <f t="shared" si="26"/>
        <v>6.01</v>
      </c>
      <c r="J106" s="32">
        <f t="shared" ref="J106:J112" si="27">I106/125*120</f>
        <v>5.7695999999999996</v>
      </c>
      <c r="K106" s="18">
        <v>12</v>
      </c>
      <c r="L106" s="138"/>
      <c r="M106" s="138"/>
      <c r="N106" s="138"/>
      <c r="O106" s="138"/>
    </row>
    <row r="107" spans="1:15" s="141" customFormat="1" ht="15" customHeight="1" x14ac:dyDescent="0.2">
      <c r="A107" s="13" t="s">
        <v>302</v>
      </c>
      <c r="B107" s="17">
        <v>1.78</v>
      </c>
      <c r="C107" s="63">
        <f>B107-(B107/100*3.84)</f>
        <v>1.7116480000000001</v>
      </c>
      <c r="D107" s="63">
        <f>C107/125*120</f>
        <v>1.6431820800000001</v>
      </c>
      <c r="E107" s="20"/>
      <c r="F107" s="28"/>
      <c r="G107" s="25" t="s">
        <v>269</v>
      </c>
      <c r="H107" s="17">
        <v>6.97</v>
      </c>
      <c r="I107" s="11">
        <f t="shared" si="26"/>
        <v>6.7023519999999994</v>
      </c>
      <c r="J107" s="32">
        <f t="shared" si="27"/>
        <v>6.4342579199999994</v>
      </c>
      <c r="K107" s="18">
        <v>12</v>
      </c>
      <c r="L107" s="138"/>
      <c r="M107" s="138"/>
      <c r="N107" s="138"/>
      <c r="O107" s="138"/>
    </row>
    <row r="108" spans="1:15" s="141" customFormat="1" ht="15" customHeight="1" x14ac:dyDescent="0.2">
      <c r="A108" s="13" t="s">
        <v>303</v>
      </c>
      <c r="B108" s="17">
        <v>1.62</v>
      </c>
      <c r="C108" s="63">
        <f>B108-(B108/100*15)</f>
        <v>1.377</v>
      </c>
      <c r="D108" s="63">
        <f>B108-(B108/100*20)</f>
        <v>1.296</v>
      </c>
      <c r="E108" s="20">
        <v>100</v>
      </c>
      <c r="F108" s="28"/>
      <c r="G108" s="50" t="s">
        <v>270</v>
      </c>
      <c r="H108" s="17">
        <v>6.97</v>
      </c>
      <c r="I108" s="11">
        <f t="shared" si="26"/>
        <v>6.7023519999999994</v>
      </c>
      <c r="J108" s="32">
        <f t="shared" si="27"/>
        <v>6.4342579199999994</v>
      </c>
      <c r="K108" s="18">
        <v>12</v>
      </c>
      <c r="L108" s="138"/>
      <c r="M108" s="138"/>
      <c r="N108" s="138"/>
      <c r="O108" s="138"/>
    </row>
    <row r="109" spans="1:15" s="141" customFormat="1" ht="15" customHeight="1" x14ac:dyDescent="0.2">
      <c r="A109" s="13" t="s">
        <v>363</v>
      </c>
      <c r="B109" s="38">
        <v>3.38</v>
      </c>
      <c r="C109" s="63">
        <f>B109-(B109/100*3.8)</f>
        <v>3.25156</v>
      </c>
      <c r="D109" s="63">
        <f>C109-(C109/100*4)</f>
        <v>3.1214976000000001</v>
      </c>
      <c r="E109" s="20"/>
      <c r="F109" s="67"/>
      <c r="G109" s="22" t="s">
        <v>210</v>
      </c>
      <c r="H109" s="17">
        <v>5.77</v>
      </c>
      <c r="I109" s="11">
        <f>H109-(H109/100*3.84)</f>
        <v>5.548432</v>
      </c>
      <c r="J109" s="32">
        <f t="shared" si="27"/>
        <v>5.3264947199999995</v>
      </c>
      <c r="K109" s="18">
        <v>12</v>
      </c>
      <c r="L109" s="138"/>
      <c r="N109" s="138"/>
      <c r="O109" s="138"/>
    </row>
    <row r="110" spans="1:15" s="141" customFormat="1" ht="15" customHeight="1" x14ac:dyDescent="0.2">
      <c r="A110" s="13" t="s">
        <v>304</v>
      </c>
      <c r="B110" s="38">
        <v>2.2400000000000002</v>
      </c>
      <c r="C110" s="63">
        <f>B110-(B110/100*15)</f>
        <v>1.9040000000000001</v>
      </c>
      <c r="D110" s="63">
        <f>B110-(B110/100*20)</f>
        <v>1.7920000000000003</v>
      </c>
      <c r="E110" s="20">
        <v>40</v>
      </c>
      <c r="F110" s="67"/>
      <c r="G110" s="72" t="s">
        <v>268</v>
      </c>
      <c r="H110" s="17">
        <v>1.1100000000000001</v>
      </c>
      <c r="I110" s="11">
        <f>H110-(H110/100*4.5)</f>
        <v>1.0600500000000002</v>
      </c>
      <c r="J110" s="32">
        <f t="shared" si="27"/>
        <v>1.0176480000000001</v>
      </c>
      <c r="K110" s="18">
        <v>9</v>
      </c>
      <c r="L110" s="138"/>
      <c r="M110" s="138"/>
      <c r="N110" s="138"/>
      <c r="O110" s="138"/>
    </row>
    <row r="111" spans="1:15" s="141" customFormat="1" ht="15" customHeight="1" x14ac:dyDescent="0.2">
      <c r="A111" s="13" t="s">
        <v>579</v>
      </c>
      <c r="B111" s="17">
        <v>1.26</v>
      </c>
      <c r="C111" s="38">
        <v>1.26</v>
      </c>
      <c r="D111" s="38">
        <v>1.26</v>
      </c>
      <c r="E111" s="20">
        <v>35</v>
      </c>
      <c r="F111" s="71"/>
      <c r="G111" s="72" t="s">
        <v>265</v>
      </c>
      <c r="H111" s="17">
        <v>2.67</v>
      </c>
      <c r="I111" s="11">
        <f>H111-(H111/100*4)</f>
        <v>2.5632000000000001</v>
      </c>
      <c r="J111" s="32">
        <f t="shared" si="27"/>
        <v>2.4606720000000002</v>
      </c>
      <c r="K111" s="18">
        <v>8</v>
      </c>
      <c r="L111" s="138"/>
      <c r="M111" s="138"/>
      <c r="N111" s="138"/>
      <c r="O111" s="138"/>
    </row>
    <row r="112" spans="1:15" s="141" customFormat="1" ht="15" customHeight="1" x14ac:dyDescent="0.2">
      <c r="A112" s="13" t="s">
        <v>580</v>
      </c>
      <c r="B112" s="17">
        <v>9.31</v>
      </c>
      <c r="C112" s="38">
        <f>B112-(B112/100*14.9)</f>
        <v>7.9228100000000001</v>
      </c>
      <c r="D112" s="38">
        <f>B112-(B112/100*20)</f>
        <v>7.4480000000000004</v>
      </c>
      <c r="E112" s="20">
        <v>120</v>
      </c>
      <c r="F112" s="71"/>
      <c r="G112" s="72" t="s">
        <v>266</v>
      </c>
      <c r="H112" s="17">
        <v>1.18</v>
      </c>
      <c r="I112" s="11">
        <f>H112-(H112/100*3.5)</f>
        <v>1.1387</v>
      </c>
      <c r="J112" s="32">
        <f t="shared" si="27"/>
        <v>1.0931520000000001</v>
      </c>
      <c r="K112" s="18"/>
      <c r="M112" s="138"/>
      <c r="N112" s="138"/>
      <c r="O112" s="138"/>
    </row>
    <row r="113" spans="1:17" s="141" customFormat="1" ht="15" customHeight="1" x14ac:dyDescent="0.2">
      <c r="A113" s="13" t="s">
        <v>581</v>
      </c>
      <c r="B113" s="17">
        <v>14.22</v>
      </c>
      <c r="C113" s="63">
        <f t="shared" ref="C113:C135" si="28">B113-(B113/100*15)</f>
        <v>12.087</v>
      </c>
      <c r="D113" s="63">
        <f t="shared" ref="D113:D135" si="29">B113-(B113/100*20)</f>
        <v>11.376000000000001</v>
      </c>
      <c r="E113" s="20">
        <v>12</v>
      </c>
      <c r="F113" s="28"/>
      <c r="G113" s="25" t="s">
        <v>267</v>
      </c>
      <c r="H113" s="17">
        <v>44.37</v>
      </c>
      <c r="I113" s="11">
        <f>H113-(H113/100*3.8)</f>
        <v>42.68394</v>
      </c>
      <c r="J113" s="32">
        <f>I113/125*119.95</f>
        <v>40.959508823999997</v>
      </c>
      <c r="K113" s="18"/>
      <c r="L113" s="138"/>
      <c r="M113" s="138"/>
      <c r="N113" s="138"/>
      <c r="O113" s="138"/>
    </row>
    <row r="114" spans="1:17" s="141" customFormat="1" ht="15" customHeight="1" x14ac:dyDescent="0.2">
      <c r="A114" s="13" t="s">
        <v>582</v>
      </c>
      <c r="B114" s="17">
        <v>12.14</v>
      </c>
      <c r="C114" s="63">
        <f t="shared" si="28"/>
        <v>10.319000000000001</v>
      </c>
      <c r="D114" s="63">
        <f t="shared" si="29"/>
        <v>9.7119999999999997</v>
      </c>
      <c r="E114" s="20">
        <v>12</v>
      </c>
      <c r="F114" s="73"/>
      <c r="G114" s="55" t="s">
        <v>264</v>
      </c>
      <c r="H114" s="17">
        <v>0.5</v>
      </c>
      <c r="I114" s="23">
        <f>H114-(H114/100*7.95)</f>
        <v>0.46024999999999999</v>
      </c>
      <c r="J114" s="23">
        <f>I114-(I114/100*4)</f>
        <v>0.44184000000000001</v>
      </c>
      <c r="K114" s="18">
        <v>15</v>
      </c>
      <c r="L114" s="138"/>
      <c r="M114" s="138"/>
      <c r="N114" s="138"/>
      <c r="O114" s="138"/>
    </row>
    <row r="115" spans="1:17" s="141" customFormat="1" ht="15" customHeight="1" x14ac:dyDescent="0.2">
      <c r="A115" s="13" t="s">
        <v>583</v>
      </c>
      <c r="B115" s="17">
        <v>14.81</v>
      </c>
      <c r="C115" s="19">
        <f>B115-(B115/100*15.05)</f>
        <v>12.581095000000001</v>
      </c>
      <c r="D115" s="63">
        <f>B115-(B115/100*20.05)</f>
        <v>11.840595</v>
      </c>
      <c r="E115" s="20">
        <v>12</v>
      </c>
      <c r="F115" s="73"/>
      <c r="G115" s="13" t="s">
        <v>413</v>
      </c>
      <c r="H115" s="17">
        <v>1.1200000000000001</v>
      </c>
      <c r="I115" s="11">
        <f>H115-(H115/100*3.84)</f>
        <v>1.0769920000000002</v>
      </c>
      <c r="J115" s="11">
        <f>I115/125*120</f>
        <v>1.0339123200000002</v>
      </c>
      <c r="K115" s="22">
        <v>10</v>
      </c>
      <c r="L115" s="138"/>
      <c r="M115" s="138"/>
      <c r="N115" s="138"/>
      <c r="O115" s="138"/>
    </row>
    <row r="116" spans="1:17" s="141" customFormat="1" ht="15" customHeight="1" x14ac:dyDescent="0.2">
      <c r="A116" s="13" t="s">
        <v>584</v>
      </c>
      <c r="B116" s="17">
        <v>17.399999999999999</v>
      </c>
      <c r="C116" s="19">
        <v>14.79</v>
      </c>
      <c r="D116" s="63">
        <f>B116-(B116/100*20.02)</f>
        <v>13.916519999999998</v>
      </c>
      <c r="E116" s="20">
        <v>12</v>
      </c>
      <c r="F116" s="28"/>
      <c r="G116" s="13" t="s">
        <v>261</v>
      </c>
      <c r="H116" s="17">
        <v>1.38</v>
      </c>
      <c r="I116" s="11">
        <f>H116-(H116/100*3.84)</f>
        <v>1.327008</v>
      </c>
      <c r="J116" s="11">
        <f>I116/125*120</f>
        <v>1.2739276799999999</v>
      </c>
      <c r="K116" s="22">
        <v>10</v>
      </c>
      <c r="L116" s="138"/>
      <c r="N116" s="138"/>
      <c r="O116" s="138"/>
    </row>
    <row r="117" spans="1:17" s="141" customFormat="1" ht="15" customHeight="1" x14ac:dyDescent="0.2">
      <c r="A117" s="13" t="s">
        <v>585</v>
      </c>
      <c r="B117" s="17">
        <v>21.89</v>
      </c>
      <c r="C117" s="19">
        <v>18.61</v>
      </c>
      <c r="D117" s="63">
        <f>B117-(B117/100*20.02)</f>
        <v>17.507622000000001</v>
      </c>
      <c r="E117" s="20">
        <v>10</v>
      </c>
      <c r="F117" s="28"/>
      <c r="G117" s="13" t="s">
        <v>431</v>
      </c>
      <c r="H117" s="17">
        <v>0.98</v>
      </c>
      <c r="I117" s="11">
        <f>H117-(H117/100*3.84)</f>
        <v>0.94236799999999998</v>
      </c>
      <c r="J117" s="11">
        <f>I117/125*120</f>
        <v>0.90467327999999991</v>
      </c>
      <c r="K117" s="18"/>
      <c r="L117" s="138"/>
      <c r="M117" s="138"/>
      <c r="N117" s="138"/>
      <c r="O117" s="138"/>
    </row>
    <row r="118" spans="1:17" s="141" customFormat="1" ht="15" customHeight="1" x14ac:dyDescent="0.2">
      <c r="A118" s="13" t="s">
        <v>340</v>
      </c>
      <c r="B118" s="17">
        <v>9</v>
      </c>
      <c r="C118" s="19">
        <f>B118-(B118/100*11.15)</f>
        <v>7.9965000000000002</v>
      </c>
      <c r="D118" s="63">
        <f>B118-(B118/100*22.2)</f>
        <v>7.0020000000000007</v>
      </c>
      <c r="E118" s="20">
        <v>20</v>
      </c>
      <c r="F118" s="28"/>
      <c r="G118" s="25" t="s">
        <v>262</v>
      </c>
      <c r="H118" s="17">
        <v>1.27</v>
      </c>
      <c r="I118" s="11">
        <f>H118-(H118/100*3.5)</f>
        <v>1.2255499999999999</v>
      </c>
      <c r="J118" s="11">
        <f>I118/125*120</f>
        <v>1.176528</v>
      </c>
      <c r="K118" s="18">
        <v>9</v>
      </c>
      <c r="L118" s="138"/>
      <c r="M118" s="138"/>
      <c r="N118" s="138"/>
      <c r="O118" s="138"/>
    </row>
    <row r="119" spans="1:17" s="141" customFormat="1" ht="15" customHeight="1" x14ac:dyDescent="0.2">
      <c r="A119" s="13" t="s">
        <v>341</v>
      </c>
      <c r="B119" s="17">
        <v>8</v>
      </c>
      <c r="C119" s="19">
        <f>B119-(B119/100*12.5)</f>
        <v>7</v>
      </c>
      <c r="D119" s="63">
        <f>B119-(B119/100*18.75)</f>
        <v>6.5</v>
      </c>
      <c r="E119" s="20">
        <v>24</v>
      </c>
      <c r="F119" s="28"/>
      <c r="G119" s="25" t="s">
        <v>262</v>
      </c>
      <c r="H119" s="17">
        <v>1.27</v>
      </c>
      <c r="I119" s="11">
        <f>H119-(H119/100*3.5)</f>
        <v>1.2255499999999999</v>
      </c>
      <c r="J119" s="11">
        <f>I119/125*120</f>
        <v>1.176528</v>
      </c>
      <c r="K119" s="18">
        <v>9</v>
      </c>
      <c r="L119" s="138"/>
      <c r="M119" s="138"/>
      <c r="N119" s="138"/>
      <c r="O119" s="138"/>
    </row>
    <row r="120" spans="1:17" s="141" customFormat="1" ht="15" customHeight="1" x14ac:dyDescent="0.2">
      <c r="A120" s="13" t="s">
        <v>342</v>
      </c>
      <c r="B120" s="17">
        <v>13.5</v>
      </c>
      <c r="C120" s="19">
        <f>B120-(B120/100*15.4)</f>
        <v>11.420999999999999</v>
      </c>
      <c r="D120" s="63">
        <f>B120-(B120/100*19.25)</f>
        <v>10.901249999999999</v>
      </c>
      <c r="E120" s="20">
        <v>12</v>
      </c>
      <c r="F120" s="56"/>
      <c r="G120" s="13" t="s">
        <v>263</v>
      </c>
      <c r="H120" s="17">
        <v>3.19</v>
      </c>
      <c r="I120" s="11">
        <f>H120-(H120/100*4)</f>
        <v>3.0623999999999998</v>
      </c>
      <c r="J120" s="11">
        <f t="shared" ref="J120:J129" si="30">I120/125*120</f>
        <v>2.9399039999999999</v>
      </c>
      <c r="K120" s="57">
        <v>10</v>
      </c>
      <c r="M120" s="138"/>
      <c r="N120" s="138"/>
      <c r="O120" s="138"/>
    </row>
    <row r="121" spans="1:17" s="141" customFormat="1" ht="15" customHeight="1" x14ac:dyDescent="0.2">
      <c r="A121" s="13" t="s">
        <v>587</v>
      </c>
      <c r="B121" s="17">
        <v>10.11</v>
      </c>
      <c r="C121" s="19">
        <v>8.59</v>
      </c>
      <c r="D121" s="63">
        <f>B121-(B121/100*20.1)</f>
        <v>8.07789</v>
      </c>
      <c r="E121" s="20">
        <v>12</v>
      </c>
      <c r="F121" s="28"/>
      <c r="G121" s="25" t="s">
        <v>113</v>
      </c>
      <c r="H121" s="17">
        <v>7.68</v>
      </c>
      <c r="I121" s="11">
        <f>H121-(H121/100*3.75)</f>
        <v>7.3919999999999995</v>
      </c>
      <c r="J121" s="11">
        <f>I121/125*119.9</f>
        <v>7.0904064</v>
      </c>
      <c r="K121" s="24"/>
      <c r="L121" s="138"/>
      <c r="M121" s="138"/>
      <c r="N121" s="138"/>
      <c r="O121" s="138"/>
      <c r="P121" s="142"/>
      <c r="Q121" s="142"/>
    </row>
    <row r="122" spans="1:17" s="141" customFormat="1" ht="15" customHeight="1" x14ac:dyDescent="0.2">
      <c r="A122" s="13" t="s">
        <v>586</v>
      </c>
      <c r="B122" s="17">
        <v>20.11</v>
      </c>
      <c r="C122" s="19">
        <f t="shared" si="28"/>
        <v>17.093499999999999</v>
      </c>
      <c r="D122" s="63">
        <f t="shared" si="29"/>
        <v>16.088000000000001</v>
      </c>
      <c r="E122" s="20">
        <v>12</v>
      </c>
      <c r="F122" s="77"/>
      <c r="G122" s="25" t="s">
        <v>446</v>
      </c>
      <c r="H122" s="17">
        <v>8.33</v>
      </c>
      <c r="I122" s="11">
        <f>H122-(H122/100*3.9)</f>
        <v>8.0051299999999994</v>
      </c>
      <c r="J122" s="11">
        <f>I122/125*120.1</f>
        <v>7.6913289039999988</v>
      </c>
      <c r="K122" s="24">
        <v>15</v>
      </c>
      <c r="L122" s="138"/>
      <c r="M122" s="138"/>
      <c r="N122" s="138"/>
      <c r="O122" s="138"/>
      <c r="P122" s="142"/>
      <c r="Q122" s="142"/>
    </row>
    <row r="123" spans="1:17" s="141" customFormat="1" ht="15" customHeight="1" x14ac:dyDescent="0.2">
      <c r="A123" s="13" t="s">
        <v>305</v>
      </c>
      <c r="B123" s="17">
        <v>0.7</v>
      </c>
      <c r="C123" s="19">
        <f t="shared" ref="C123" si="31">B123-(B123/100*15)</f>
        <v>0.59499999999999997</v>
      </c>
      <c r="D123" s="63">
        <f t="shared" ref="D123" si="32">B123-(B123/100*20)</f>
        <v>0.55999999999999994</v>
      </c>
      <c r="E123" s="20">
        <v>50</v>
      </c>
      <c r="F123" s="41"/>
      <c r="G123" s="25" t="s">
        <v>530</v>
      </c>
      <c r="H123" s="17">
        <v>11.01</v>
      </c>
      <c r="I123" s="11">
        <f>H123-(H123/100*3.84)</f>
        <v>10.587216</v>
      </c>
      <c r="J123" s="11">
        <f t="shared" si="30"/>
        <v>10.163727359999999</v>
      </c>
      <c r="K123" s="24">
        <v>4</v>
      </c>
      <c r="L123" s="138"/>
      <c r="M123" s="129"/>
      <c r="N123" s="129"/>
      <c r="O123" s="138"/>
      <c r="P123" s="142"/>
      <c r="Q123" s="142"/>
    </row>
    <row r="124" spans="1:17" s="141" customFormat="1" ht="15" customHeight="1" x14ac:dyDescent="0.2">
      <c r="A124" s="13" t="s">
        <v>588</v>
      </c>
      <c r="B124" s="17">
        <v>10.37</v>
      </c>
      <c r="C124" s="19">
        <f>B124-(B124/100*15)</f>
        <v>8.8144999999999989</v>
      </c>
      <c r="D124" s="19">
        <f>C124-(C124/100*5.9)</f>
        <v>8.2944444999999991</v>
      </c>
      <c r="E124" s="20">
        <v>72</v>
      </c>
      <c r="F124" s="79"/>
      <c r="G124" s="13" t="s">
        <v>259</v>
      </c>
      <c r="H124" s="17">
        <v>1.2</v>
      </c>
      <c r="I124" s="11">
        <f>H124-(H124/100*3.84)</f>
        <v>1.1539200000000001</v>
      </c>
      <c r="J124" s="11">
        <f t="shared" si="30"/>
        <v>1.1077632000000002</v>
      </c>
      <c r="K124" s="24">
        <v>12</v>
      </c>
      <c r="L124" s="138"/>
      <c r="M124" s="138"/>
      <c r="N124" s="138"/>
      <c r="O124" s="138"/>
      <c r="P124" s="142"/>
      <c r="Q124" s="142"/>
    </row>
    <row r="125" spans="1:17" s="133" customFormat="1" ht="15" customHeight="1" x14ac:dyDescent="0.2">
      <c r="A125" s="13" t="s">
        <v>206</v>
      </c>
      <c r="B125" s="17">
        <v>29</v>
      </c>
      <c r="C125" s="19">
        <f>B125-(B125/100*3.79)</f>
        <v>27.9009</v>
      </c>
      <c r="D125" s="19">
        <f>C125-(C125/100*3.95)</f>
        <v>26.798814450000002</v>
      </c>
      <c r="E125" s="20"/>
      <c r="F125" s="79"/>
      <c r="G125" s="13" t="s">
        <v>402</v>
      </c>
      <c r="H125" s="17">
        <v>6.24</v>
      </c>
      <c r="I125" s="11">
        <f>H125-(H125/100*3.84)</f>
        <v>6.0003840000000004</v>
      </c>
      <c r="J125" s="11">
        <f t="shared" si="30"/>
        <v>5.7603686400000003</v>
      </c>
      <c r="K125" s="24">
        <v>5</v>
      </c>
      <c r="L125" s="138"/>
      <c r="M125" s="138"/>
      <c r="N125" s="138"/>
      <c r="O125" s="129"/>
      <c r="P125" s="142"/>
      <c r="Q125" s="142"/>
    </row>
    <row r="126" spans="1:17" s="133" customFormat="1" ht="15" customHeight="1" x14ac:dyDescent="0.2">
      <c r="A126" s="13" t="s">
        <v>339</v>
      </c>
      <c r="B126" s="17">
        <v>0.72</v>
      </c>
      <c r="C126" s="19">
        <f>B126-(B126/100*15)</f>
        <v>0.61199999999999999</v>
      </c>
      <c r="D126" s="19">
        <f>C126-(C126/100*6.5)</f>
        <v>0.57221999999999995</v>
      </c>
      <c r="E126" s="20"/>
      <c r="F126" s="79"/>
      <c r="G126" s="36" t="s">
        <v>260</v>
      </c>
      <c r="H126" s="37">
        <v>1.08</v>
      </c>
      <c r="I126" s="11">
        <f>H126-(H126/100*3.84)</f>
        <v>1.0385280000000001</v>
      </c>
      <c r="J126" s="11">
        <f t="shared" si="30"/>
        <v>0.99698688000000013</v>
      </c>
      <c r="K126" s="24">
        <v>20</v>
      </c>
      <c r="L126" s="138"/>
      <c r="M126" s="138"/>
      <c r="N126" s="138"/>
      <c r="O126" s="129"/>
      <c r="P126" s="142"/>
      <c r="Q126" s="142"/>
    </row>
    <row r="127" spans="1:17" s="141" customFormat="1" ht="15" customHeight="1" x14ac:dyDescent="0.2">
      <c r="A127" s="13" t="s">
        <v>34</v>
      </c>
      <c r="B127" s="17">
        <v>0.68</v>
      </c>
      <c r="C127" s="69">
        <f t="shared" si="28"/>
        <v>0.57800000000000007</v>
      </c>
      <c r="D127" s="63">
        <f t="shared" si="29"/>
        <v>0.54400000000000004</v>
      </c>
      <c r="E127" s="70">
        <v>50</v>
      </c>
      <c r="F127" s="67"/>
      <c r="G127" s="36" t="s">
        <v>417</v>
      </c>
      <c r="H127" s="37">
        <v>5.33</v>
      </c>
      <c r="I127" s="11">
        <f>H127-(H127/100*3.3)</f>
        <v>5.1541100000000002</v>
      </c>
      <c r="J127" s="11">
        <f>I127-(I127/100*3)</f>
        <v>4.9994867000000003</v>
      </c>
      <c r="K127" s="24">
        <v>20</v>
      </c>
      <c r="L127" s="129"/>
      <c r="M127" s="138"/>
      <c r="N127" s="138"/>
      <c r="O127" s="138"/>
      <c r="P127" s="142"/>
      <c r="Q127" s="142"/>
    </row>
    <row r="128" spans="1:17" s="141" customFormat="1" ht="16.5" customHeight="1" x14ac:dyDescent="0.2">
      <c r="A128" s="25" t="s">
        <v>420</v>
      </c>
      <c r="B128" s="17">
        <v>3.16</v>
      </c>
      <c r="C128" s="38">
        <f>B128-(B128/100*14.9)</f>
        <v>2.6891600000000002</v>
      </c>
      <c r="D128" s="63">
        <f>B128-(B128/100*20)</f>
        <v>2.528</v>
      </c>
      <c r="E128" s="20">
        <v>40</v>
      </c>
      <c r="F128" s="67"/>
      <c r="G128" s="36" t="s">
        <v>512</v>
      </c>
      <c r="H128" s="37">
        <v>4.47</v>
      </c>
      <c r="I128" s="17">
        <f>H128-(H128/100*3.84)</f>
        <v>4.2983519999999995</v>
      </c>
      <c r="J128" s="11">
        <f t="shared" si="30"/>
        <v>4.1264179199999989</v>
      </c>
      <c r="K128" s="81">
        <v>12</v>
      </c>
      <c r="L128" s="138"/>
      <c r="M128" s="138"/>
      <c r="N128" s="138"/>
      <c r="O128" s="138"/>
      <c r="P128" s="142"/>
      <c r="Q128" s="142"/>
    </row>
    <row r="129" spans="1:17" s="141" customFormat="1" ht="15.75" customHeight="1" x14ac:dyDescent="0.2">
      <c r="A129" s="25" t="s">
        <v>441</v>
      </c>
      <c r="B129" s="17">
        <v>1.55</v>
      </c>
      <c r="C129" s="38">
        <f>B129-(B129/100*3.84)</f>
        <v>1.49048</v>
      </c>
      <c r="D129" s="63">
        <f>B129-(B129/100*8)</f>
        <v>1.4260000000000002</v>
      </c>
      <c r="E129" s="20">
        <v>30</v>
      </c>
      <c r="F129" s="67"/>
      <c r="G129" s="36" t="s">
        <v>368</v>
      </c>
      <c r="H129" s="37">
        <v>5.16</v>
      </c>
      <c r="I129" s="17">
        <f>H129-(H129/100*3.84)</f>
        <v>4.961856</v>
      </c>
      <c r="J129" s="11">
        <f t="shared" si="30"/>
        <v>4.7633817599999997</v>
      </c>
      <c r="K129" s="81"/>
      <c r="L129" s="138"/>
      <c r="M129" s="138"/>
      <c r="N129" s="138"/>
      <c r="O129" s="138"/>
      <c r="P129" s="142"/>
      <c r="Q129" s="142"/>
    </row>
    <row r="130" spans="1:17" s="141" customFormat="1" ht="21" customHeight="1" x14ac:dyDescent="0.2">
      <c r="A130" s="25" t="s">
        <v>346</v>
      </c>
      <c r="B130" s="17">
        <v>2.38</v>
      </c>
      <c r="C130" s="38">
        <f t="shared" si="28"/>
        <v>2.0229999999999997</v>
      </c>
      <c r="D130" s="63">
        <f t="shared" si="29"/>
        <v>1.9039999999999999</v>
      </c>
      <c r="E130" s="20">
        <v>30</v>
      </c>
      <c r="F130" s="67"/>
      <c r="G130" s="195" t="s">
        <v>39</v>
      </c>
      <c r="H130" s="195"/>
      <c r="I130" s="195"/>
      <c r="J130" s="195"/>
      <c r="K130" s="195"/>
      <c r="L130" s="138"/>
      <c r="M130" s="138"/>
      <c r="N130" s="138"/>
      <c r="O130" s="138"/>
    </row>
    <row r="131" spans="1:17" s="141" customFormat="1" ht="15" customHeight="1" x14ac:dyDescent="0.2">
      <c r="A131" s="25" t="s">
        <v>348</v>
      </c>
      <c r="B131" s="17">
        <v>2.84</v>
      </c>
      <c r="C131" s="38">
        <f>B131-(B131/100*15)</f>
        <v>2.4139999999999997</v>
      </c>
      <c r="D131" s="63">
        <f>B131-(B131/100*20)</f>
        <v>2.2719999999999998</v>
      </c>
      <c r="E131" s="20">
        <v>30</v>
      </c>
      <c r="F131" s="79"/>
      <c r="G131" s="10" t="s">
        <v>505</v>
      </c>
      <c r="H131" s="82">
        <v>12.71</v>
      </c>
      <c r="I131" s="11">
        <f>H131-(H131/100*3.6)</f>
        <v>12.25244</v>
      </c>
      <c r="J131" s="11">
        <f>I131-(I131/100*4.2)</f>
        <v>11.737837519999999</v>
      </c>
      <c r="K131" s="83">
        <v>10</v>
      </c>
      <c r="L131" s="138"/>
      <c r="M131" s="138"/>
      <c r="N131" s="138"/>
      <c r="O131" s="138"/>
    </row>
    <row r="132" spans="1:17" s="141" customFormat="1" ht="15" customHeight="1" x14ac:dyDescent="0.2">
      <c r="A132" s="25" t="s">
        <v>598</v>
      </c>
      <c r="B132" s="17">
        <v>1.55</v>
      </c>
      <c r="C132" s="38">
        <f t="shared" ref="C132" si="33">B132-(B132/100*15)</f>
        <v>1.3175000000000001</v>
      </c>
      <c r="D132" s="63">
        <f t="shared" ref="D132" si="34">B132-(B132/100*20)</f>
        <v>1.24</v>
      </c>
      <c r="E132" s="20">
        <v>50</v>
      </c>
      <c r="F132" s="67"/>
      <c r="G132" s="13" t="s">
        <v>506</v>
      </c>
      <c r="H132" s="76">
        <v>3.87</v>
      </c>
      <c r="I132" s="11">
        <f>H132-(H132/100*3.5)</f>
        <v>3.73455</v>
      </c>
      <c r="J132" s="11">
        <f>I132/125*119.7</f>
        <v>3.5762050800000003</v>
      </c>
      <c r="K132" s="24">
        <v>10</v>
      </c>
      <c r="L132" s="138"/>
      <c r="M132" s="138"/>
      <c r="N132" s="138"/>
      <c r="O132" s="138"/>
    </row>
    <row r="133" spans="1:17" s="141" customFormat="1" ht="17.25" customHeight="1" x14ac:dyDescent="0.2">
      <c r="A133" s="25" t="s">
        <v>347</v>
      </c>
      <c r="B133" s="17">
        <v>3.24</v>
      </c>
      <c r="C133" s="38">
        <f t="shared" si="28"/>
        <v>2.754</v>
      </c>
      <c r="D133" s="63">
        <f t="shared" si="29"/>
        <v>2.5920000000000001</v>
      </c>
      <c r="E133" s="20">
        <v>90</v>
      </c>
      <c r="F133" s="53"/>
      <c r="G133" s="13" t="s">
        <v>507</v>
      </c>
      <c r="H133" s="76">
        <v>5.97</v>
      </c>
      <c r="I133" s="11">
        <f t="shared" ref="I133:I138" si="35">H133-(H133/100*3.84)</f>
        <v>5.7407519999999996</v>
      </c>
      <c r="J133" s="11">
        <f>I133/125*120</f>
        <v>5.5111219199999999</v>
      </c>
      <c r="K133" s="24">
        <v>10</v>
      </c>
      <c r="L133" s="138"/>
      <c r="M133" s="138"/>
      <c r="N133" s="138"/>
      <c r="O133" s="138"/>
    </row>
    <row r="134" spans="1:17" s="141" customFormat="1" ht="15" customHeight="1" x14ac:dyDescent="0.2">
      <c r="A134" s="13" t="s">
        <v>35</v>
      </c>
      <c r="B134" s="17">
        <v>1.41</v>
      </c>
      <c r="C134" s="38">
        <f t="shared" si="28"/>
        <v>1.1984999999999999</v>
      </c>
      <c r="D134" s="63">
        <f t="shared" si="29"/>
        <v>1.1279999999999999</v>
      </c>
      <c r="E134" s="70">
        <v>240</v>
      </c>
      <c r="F134" s="79"/>
      <c r="G134" s="13" t="s">
        <v>508</v>
      </c>
      <c r="H134" s="17">
        <v>15.47</v>
      </c>
      <c r="I134" s="11">
        <f t="shared" si="35"/>
        <v>14.875952</v>
      </c>
      <c r="J134" s="11">
        <f>I134/125*120</f>
        <v>14.28091392</v>
      </c>
      <c r="K134" s="24">
        <v>10</v>
      </c>
      <c r="L134" s="138"/>
      <c r="M134" s="138"/>
      <c r="N134" s="138"/>
      <c r="O134" s="138"/>
    </row>
    <row r="135" spans="1:17" s="141" customFormat="1" ht="15" customHeight="1" x14ac:dyDescent="0.2">
      <c r="A135" s="13" t="s">
        <v>36</v>
      </c>
      <c r="B135" s="17">
        <v>0.31</v>
      </c>
      <c r="C135" s="69">
        <f t="shared" si="28"/>
        <v>0.26350000000000001</v>
      </c>
      <c r="D135" s="63">
        <f t="shared" si="29"/>
        <v>0.248</v>
      </c>
      <c r="E135" s="70">
        <v>240</v>
      </c>
      <c r="F135" s="79"/>
      <c r="G135" s="13" t="s">
        <v>509</v>
      </c>
      <c r="H135" s="17">
        <v>11.88</v>
      </c>
      <c r="I135" s="11">
        <f>H135-(H135/100*3.8)</f>
        <v>11.428560000000001</v>
      </c>
      <c r="J135" s="11">
        <f>I135/125*120</f>
        <v>10.971417600000001</v>
      </c>
      <c r="K135" s="24">
        <v>10</v>
      </c>
      <c r="L135" s="138"/>
      <c r="M135" s="138"/>
      <c r="N135" s="138"/>
      <c r="O135" s="138"/>
    </row>
    <row r="136" spans="1:17" s="141" customFormat="1" ht="15" customHeight="1" x14ac:dyDescent="0.2">
      <c r="A136" s="13" t="s">
        <v>597</v>
      </c>
      <c r="B136" s="17">
        <v>0.3</v>
      </c>
      <c r="C136" s="69">
        <f t="shared" ref="C136" si="36">B136-(B136/100*15)</f>
        <v>0.255</v>
      </c>
      <c r="D136" s="63">
        <f t="shared" ref="D136" si="37">B136-(B136/100*20)</f>
        <v>0.24</v>
      </c>
      <c r="E136" s="70">
        <v>240</v>
      </c>
      <c r="F136" s="79"/>
      <c r="G136" s="29" t="s">
        <v>44</v>
      </c>
      <c r="H136" s="17">
        <v>9.84</v>
      </c>
      <c r="I136" s="11">
        <f t="shared" si="35"/>
        <v>9.4621440000000003</v>
      </c>
      <c r="J136" s="11">
        <f>I136/125*120</f>
        <v>9.0836582400000001</v>
      </c>
      <c r="K136" s="29">
        <v>10</v>
      </c>
      <c r="L136" s="138"/>
      <c r="M136" s="138"/>
      <c r="N136" s="138"/>
      <c r="O136" s="138"/>
    </row>
    <row r="137" spans="1:17" s="141" customFormat="1" ht="13.5" customHeight="1" x14ac:dyDescent="0.2">
      <c r="A137" s="13" t="s">
        <v>364</v>
      </c>
      <c r="B137" s="17">
        <v>1.04</v>
      </c>
      <c r="C137" s="6">
        <f>B137-(B137/100*3.84)</f>
        <v>1.0000640000000001</v>
      </c>
      <c r="D137" s="6">
        <f>C137-(C137/100*3.84)</f>
        <v>0.96166154240000012</v>
      </c>
      <c r="E137" s="70">
        <v>48</v>
      </c>
      <c r="F137" s="9"/>
      <c r="G137" s="13" t="s">
        <v>284</v>
      </c>
      <c r="H137" s="17">
        <v>7.74</v>
      </c>
      <c r="I137" s="11">
        <f t="shared" si="35"/>
        <v>7.4427840000000005</v>
      </c>
      <c r="J137" s="11">
        <f>I137/125*119.9</f>
        <v>7.1391184128000011</v>
      </c>
      <c r="K137" s="24">
        <v>10</v>
      </c>
      <c r="L137" s="138"/>
      <c r="M137" s="138"/>
      <c r="N137" s="138"/>
      <c r="O137" s="138"/>
    </row>
    <row r="138" spans="1:17" s="141" customFormat="1" ht="15.75" customHeight="1" x14ac:dyDescent="0.2">
      <c r="A138" s="25" t="s">
        <v>365</v>
      </c>
      <c r="B138" s="17">
        <v>1.27</v>
      </c>
      <c r="C138" s="17">
        <f>B138-(B138/100*8)</f>
        <v>1.1684000000000001</v>
      </c>
      <c r="D138" s="17">
        <f>C138-(C138/100*4.6)</f>
        <v>1.1146536</v>
      </c>
      <c r="E138" s="27">
        <v>48</v>
      </c>
      <c r="F138" s="33"/>
      <c r="G138" s="87" t="s">
        <v>46</v>
      </c>
      <c r="H138" s="37">
        <v>13.81</v>
      </c>
      <c r="I138" s="88">
        <f t="shared" si="35"/>
        <v>13.279696000000001</v>
      </c>
      <c r="J138" s="11">
        <f>I138/125*119.9</f>
        <v>12.737884403200001</v>
      </c>
      <c r="K138" s="81"/>
      <c r="L138" s="138"/>
      <c r="M138" s="138"/>
      <c r="N138" s="138"/>
      <c r="O138" s="138"/>
    </row>
    <row r="139" spans="1:17" s="141" customFormat="1" ht="22.5" customHeight="1" x14ac:dyDescent="0.2">
      <c r="A139" s="25" t="s">
        <v>604</v>
      </c>
      <c r="B139" s="17">
        <v>2.39</v>
      </c>
      <c r="C139" s="17">
        <f>B139-(B139/100*15)</f>
        <v>2.0315000000000003</v>
      </c>
      <c r="D139" s="17">
        <f>C139-(C139/100*5.9)</f>
        <v>1.9116415000000002</v>
      </c>
      <c r="E139" s="27">
        <v>40</v>
      </c>
      <c r="F139" s="71"/>
      <c r="G139" s="165" t="s">
        <v>47</v>
      </c>
      <c r="H139" s="165"/>
      <c r="I139" s="165"/>
      <c r="J139" s="165"/>
      <c r="K139" s="165"/>
      <c r="L139" s="138"/>
      <c r="M139" s="138"/>
      <c r="N139" s="138"/>
      <c r="O139" s="138"/>
    </row>
    <row r="140" spans="1:17" s="141" customFormat="1" ht="15" customHeight="1" x14ac:dyDescent="0.2">
      <c r="A140" s="13" t="s">
        <v>122</v>
      </c>
      <c r="B140" s="17">
        <v>1.26</v>
      </c>
      <c r="C140" s="17">
        <f>B140-(B140/100*9)</f>
        <v>1.1466000000000001</v>
      </c>
      <c r="D140" s="17">
        <f>C140-(C140/100*4)</f>
        <v>1.1007360000000002</v>
      </c>
      <c r="E140" s="70">
        <v>50</v>
      </c>
      <c r="F140" s="73"/>
      <c r="G140" s="10" t="s">
        <v>320</v>
      </c>
      <c r="H140" s="11">
        <v>0.6</v>
      </c>
      <c r="I140" s="23">
        <f t="shared" ref="I140:I147" si="38">H140-(H140/100*15)</f>
        <v>0.51</v>
      </c>
      <c r="J140" s="23">
        <f t="shared" ref="J140:J148" si="39">H140-(H140/100*20)</f>
        <v>0.48</v>
      </c>
      <c r="K140" s="12">
        <v>55</v>
      </c>
      <c r="L140" s="138"/>
      <c r="M140" s="138"/>
      <c r="N140" s="138"/>
      <c r="O140" s="138"/>
    </row>
    <row r="141" spans="1:17" s="141" customFormat="1" ht="13.5" customHeight="1" x14ac:dyDescent="0.2">
      <c r="A141" s="13" t="s">
        <v>306</v>
      </c>
      <c r="B141" s="17">
        <v>0.5</v>
      </c>
      <c r="C141" s="6">
        <f>B141-(B141/100*8)</f>
        <v>0.46</v>
      </c>
      <c r="D141" s="6">
        <f>C141-(C141/100*5)</f>
        <v>0.437</v>
      </c>
      <c r="E141" s="74">
        <v>100</v>
      </c>
      <c r="F141" s="73"/>
      <c r="G141" s="90" t="s">
        <v>179</v>
      </c>
      <c r="H141" s="17">
        <v>0.42</v>
      </c>
      <c r="I141" s="32">
        <f t="shared" si="38"/>
        <v>0.35699999999999998</v>
      </c>
      <c r="J141" s="23">
        <f t="shared" si="39"/>
        <v>0.33599999999999997</v>
      </c>
      <c r="K141" s="18">
        <v>150</v>
      </c>
      <c r="L141" s="138"/>
      <c r="M141" s="138"/>
      <c r="N141" s="138"/>
      <c r="O141" s="138"/>
    </row>
    <row r="142" spans="1:17" s="141" customFormat="1" ht="17.25" customHeight="1" x14ac:dyDescent="0.2">
      <c r="A142" s="25" t="s">
        <v>599</v>
      </c>
      <c r="B142" s="17">
        <v>4.26</v>
      </c>
      <c r="C142" s="6">
        <f>B142-(B142/100*15)</f>
        <v>3.6209999999999996</v>
      </c>
      <c r="D142" s="6">
        <f>C142-(C142/100*5.7)</f>
        <v>3.4146029999999996</v>
      </c>
      <c r="E142" s="74">
        <v>30</v>
      </c>
      <c r="F142" s="89"/>
      <c r="G142" s="13" t="s">
        <v>321</v>
      </c>
      <c r="H142" s="32">
        <v>2.11</v>
      </c>
      <c r="I142" s="32">
        <f t="shared" si="38"/>
        <v>1.7934999999999999</v>
      </c>
      <c r="J142" s="32">
        <f>H142-(H142/100*25)</f>
        <v>1.5825</v>
      </c>
      <c r="K142" s="29">
        <v>15</v>
      </c>
      <c r="L142" s="138"/>
      <c r="M142" s="138"/>
      <c r="N142" s="138"/>
      <c r="O142" s="138"/>
    </row>
    <row r="143" spans="1:17" s="141" customFormat="1" ht="15" customHeight="1" x14ac:dyDescent="0.2">
      <c r="A143" s="25" t="s">
        <v>600</v>
      </c>
      <c r="B143" s="17">
        <v>4.67</v>
      </c>
      <c r="C143" s="6">
        <f>B143-(B143/100*15)</f>
        <v>3.9695</v>
      </c>
      <c r="D143" s="6">
        <f>C143-(C143/100*6.1)</f>
        <v>3.7273605000000001</v>
      </c>
      <c r="E143" s="74">
        <v>30</v>
      </c>
      <c r="F143" s="89"/>
      <c r="G143" s="10" t="s">
        <v>181</v>
      </c>
      <c r="H143" s="11">
        <v>2.09</v>
      </c>
      <c r="I143" s="23">
        <f t="shared" si="38"/>
        <v>1.7765</v>
      </c>
      <c r="J143" s="32">
        <f t="shared" si="39"/>
        <v>1.6719999999999999</v>
      </c>
      <c r="K143" s="12">
        <v>15</v>
      </c>
      <c r="L143" s="138"/>
      <c r="M143" s="138"/>
      <c r="N143" s="138"/>
      <c r="O143" s="138"/>
    </row>
    <row r="144" spans="1:17" s="141" customFormat="1" ht="15" customHeight="1" x14ac:dyDescent="0.2">
      <c r="A144" s="25" t="s">
        <v>456</v>
      </c>
      <c r="B144" s="17">
        <v>0.75</v>
      </c>
      <c r="C144" s="6">
        <f>B144-(B144/100*8)</f>
        <v>0.69</v>
      </c>
      <c r="D144" s="6">
        <f>C144-(C144/100*5)</f>
        <v>0.65549999999999997</v>
      </c>
      <c r="E144" s="74">
        <v>100</v>
      </c>
      <c r="F144" s="89"/>
      <c r="G144" s="10" t="s">
        <v>184</v>
      </c>
      <c r="H144" s="11">
        <v>2.68</v>
      </c>
      <c r="I144" s="23">
        <f t="shared" si="38"/>
        <v>2.278</v>
      </c>
      <c r="J144" s="32">
        <f t="shared" si="39"/>
        <v>2.1440000000000001</v>
      </c>
      <c r="K144" s="12">
        <v>15</v>
      </c>
      <c r="L144" s="138"/>
      <c r="M144" s="143"/>
      <c r="N144" s="143"/>
      <c r="O144" s="138"/>
    </row>
    <row r="145" spans="1:15" s="141" customFormat="1" ht="15" customHeight="1" x14ac:dyDescent="0.2">
      <c r="A145" s="25" t="s">
        <v>626</v>
      </c>
      <c r="B145" s="17">
        <v>1.87</v>
      </c>
      <c r="C145" s="164">
        <v>1.59</v>
      </c>
      <c r="D145" s="164">
        <v>1.49</v>
      </c>
      <c r="E145" s="74">
        <v>50</v>
      </c>
      <c r="F145" s="89"/>
      <c r="G145" s="10" t="s">
        <v>183</v>
      </c>
      <c r="H145" s="11">
        <v>2.8</v>
      </c>
      <c r="I145" s="23">
        <f t="shared" si="38"/>
        <v>2.38</v>
      </c>
      <c r="J145" s="32">
        <f t="shared" si="39"/>
        <v>2.2399999999999998</v>
      </c>
      <c r="K145" s="18">
        <v>10</v>
      </c>
      <c r="L145" s="138"/>
      <c r="M145" s="143"/>
      <c r="N145" s="143"/>
      <c r="O145" s="138"/>
    </row>
    <row r="146" spans="1:15" s="144" customFormat="1" ht="15" customHeight="1" x14ac:dyDescent="0.2">
      <c r="A146" s="25" t="s">
        <v>625</v>
      </c>
      <c r="B146" s="17">
        <v>2.87</v>
      </c>
      <c r="C146" s="164">
        <v>2.44</v>
      </c>
      <c r="D146" s="164">
        <v>2.2999999999999998</v>
      </c>
      <c r="E146" s="74">
        <v>100</v>
      </c>
      <c r="F146" s="89"/>
      <c r="G146" s="10" t="s">
        <v>182</v>
      </c>
      <c r="H146" s="11">
        <v>2.78</v>
      </c>
      <c r="I146" s="23">
        <f t="shared" si="38"/>
        <v>2.363</v>
      </c>
      <c r="J146" s="32">
        <f t="shared" si="39"/>
        <v>2.2239999999999998</v>
      </c>
      <c r="K146" s="18">
        <v>20</v>
      </c>
      <c r="L146" s="138"/>
      <c r="M146" s="143"/>
      <c r="N146" s="143"/>
      <c r="O146" s="143"/>
    </row>
    <row r="147" spans="1:15" s="144" customFormat="1" ht="15" customHeight="1" x14ac:dyDescent="0.2">
      <c r="A147" s="13" t="s">
        <v>605</v>
      </c>
      <c r="B147" s="17">
        <v>2.64</v>
      </c>
      <c r="C147" s="69">
        <f>B147-(B147/100*15)</f>
        <v>2.2440000000000002</v>
      </c>
      <c r="D147" s="69">
        <f>C147/125*117.7</f>
        <v>2.1129504000000003</v>
      </c>
      <c r="E147" s="27">
        <v>50</v>
      </c>
      <c r="F147" s="41"/>
      <c r="G147" s="90" t="s">
        <v>178</v>
      </c>
      <c r="H147" s="17">
        <v>3.82</v>
      </c>
      <c r="I147" s="32">
        <f t="shared" si="38"/>
        <v>3.2469999999999999</v>
      </c>
      <c r="J147" s="32">
        <f t="shared" si="39"/>
        <v>3.056</v>
      </c>
      <c r="K147" s="18">
        <v>9</v>
      </c>
      <c r="L147" s="143"/>
      <c r="M147" s="143"/>
      <c r="N147" s="143"/>
      <c r="O147" s="143"/>
    </row>
    <row r="148" spans="1:15" s="144" customFormat="1" ht="19.5" customHeight="1" x14ac:dyDescent="0.2">
      <c r="A148" s="13" t="s">
        <v>607</v>
      </c>
      <c r="B148" s="17">
        <v>3.69</v>
      </c>
      <c r="C148" s="69">
        <f>B148-(B148/100*15.2)</f>
        <v>3.1291199999999999</v>
      </c>
      <c r="D148" s="69">
        <f>C148/125*118</f>
        <v>2.9538892799999998</v>
      </c>
      <c r="E148" s="27">
        <v>40</v>
      </c>
      <c r="F148" s="71"/>
      <c r="G148" s="10" t="s">
        <v>189</v>
      </c>
      <c r="H148" s="11">
        <v>3.13</v>
      </c>
      <c r="I148" s="23">
        <v>2.66</v>
      </c>
      <c r="J148" s="32">
        <f t="shared" si="39"/>
        <v>2.504</v>
      </c>
      <c r="K148" s="18">
        <v>10</v>
      </c>
      <c r="L148" s="143"/>
      <c r="M148" s="143"/>
      <c r="N148" s="143"/>
    </row>
    <row r="149" spans="1:15" s="144" customFormat="1" ht="15" customHeight="1" x14ac:dyDescent="0.2">
      <c r="A149" s="13" t="s">
        <v>606</v>
      </c>
      <c r="B149" s="17">
        <v>5.66</v>
      </c>
      <c r="C149" s="69">
        <f>B149-(B149/100*14.9)</f>
        <v>4.8166599999999997</v>
      </c>
      <c r="D149" s="69">
        <f>C149/125*117.5</f>
        <v>4.5276603999999994</v>
      </c>
      <c r="E149" s="27">
        <v>35</v>
      </c>
      <c r="F149" s="35"/>
      <c r="G149" s="13" t="s">
        <v>190</v>
      </c>
      <c r="H149" s="17">
        <v>2.4300000000000002</v>
      </c>
      <c r="I149" s="32">
        <f>H149-(H149/100*10.3)</f>
        <v>2.17971</v>
      </c>
      <c r="J149" s="32">
        <f>H149-(H149/100*15.3)</f>
        <v>2.0582099999999999</v>
      </c>
      <c r="K149" s="18">
        <v>10</v>
      </c>
      <c r="L149" s="143"/>
      <c r="M149" s="143"/>
      <c r="N149" s="143"/>
      <c r="O149" s="143"/>
    </row>
    <row r="150" spans="1:15" s="144" customFormat="1" ht="15" customHeight="1" x14ac:dyDescent="0.2">
      <c r="A150" s="13" t="s">
        <v>457</v>
      </c>
      <c r="B150" s="17">
        <v>5.68</v>
      </c>
      <c r="C150" s="69">
        <f>B150-(B150/100*15)</f>
        <v>4.8279999999999994</v>
      </c>
      <c r="D150" s="69">
        <f>C150/125*117.9</f>
        <v>4.5537695999999999</v>
      </c>
      <c r="E150" s="27">
        <v>35</v>
      </c>
      <c r="F150" s="28"/>
      <c r="G150" s="10" t="s">
        <v>188</v>
      </c>
      <c r="H150" s="11">
        <v>3.69</v>
      </c>
      <c r="I150" s="32">
        <f>H150-(H150/100*15)</f>
        <v>3.1364999999999998</v>
      </c>
      <c r="J150" s="32">
        <f>H150-(H150/100*20)</f>
        <v>2.952</v>
      </c>
      <c r="K150" s="18">
        <v>10</v>
      </c>
      <c r="L150" s="143"/>
      <c r="M150" s="143"/>
      <c r="N150" s="143"/>
      <c r="O150" s="143"/>
    </row>
    <row r="151" spans="1:15" s="144" customFormat="1" ht="15" customHeight="1" x14ac:dyDescent="0.2">
      <c r="A151" s="10" t="s">
        <v>207</v>
      </c>
      <c r="B151" s="17">
        <v>3.76</v>
      </c>
      <c r="C151" s="69">
        <f>B151-(B151/100*3.9)</f>
        <v>3.6133599999999997</v>
      </c>
      <c r="D151" s="69">
        <f>C151/125*120</f>
        <v>3.4688255999999997</v>
      </c>
      <c r="E151" s="75">
        <v>40</v>
      </c>
      <c r="F151" s="28"/>
      <c r="G151" s="10" t="s">
        <v>492</v>
      </c>
      <c r="H151" s="11">
        <v>4.07</v>
      </c>
      <c r="I151" s="32">
        <f>H151-(H151/100*15)</f>
        <v>3.4595000000000002</v>
      </c>
      <c r="J151" s="32">
        <f>H151-(H151/100*20)</f>
        <v>3.2560000000000002</v>
      </c>
      <c r="K151" s="18">
        <v>10</v>
      </c>
      <c r="L151" s="143"/>
      <c r="M151" s="143"/>
      <c r="N151" s="143"/>
      <c r="O151" s="143"/>
    </row>
    <row r="152" spans="1:15" s="144" customFormat="1" ht="15" customHeight="1" x14ac:dyDescent="0.2">
      <c r="A152" s="13" t="s">
        <v>174</v>
      </c>
      <c r="B152" s="17">
        <v>5.25</v>
      </c>
      <c r="C152" s="6">
        <f>B152-(B152/100*3.84)</f>
        <v>5.0484</v>
      </c>
      <c r="D152" s="6">
        <f>C152-(C152/100*4)</f>
        <v>4.8464640000000001</v>
      </c>
      <c r="E152" s="75"/>
      <c r="F152" s="28"/>
      <c r="G152" s="10" t="s">
        <v>51</v>
      </c>
      <c r="H152" s="11">
        <v>3.58</v>
      </c>
      <c r="I152" s="23">
        <v>3.33</v>
      </c>
      <c r="J152" s="32">
        <f>I152/125*120</f>
        <v>3.1968000000000001</v>
      </c>
      <c r="K152" s="18">
        <v>10</v>
      </c>
      <c r="L152" s="143"/>
    </row>
    <row r="153" spans="1:15" s="144" customFormat="1" ht="15" customHeight="1" x14ac:dyDescent="0.2">
      <c r="A153" s="13" t="s">
        <v>173</v>
      </c>
      <c r="B153" s="17">
        <v>12.39</v>
      </c>
      <c r="C153" s="6">
        <f>B153-(B153/100*3.84)</f>
        <v>11.914224000000001</v>
      </c>
      <c r="D153" s="6">
        <f>C153-(C153/100*4)</f>
        <v>11.437655040000001</v>
      </c>
      <c r="E153" s="75"/>
      <c r="F153" s="28"/>
      <c r="G153" s="13" t="s">
        <v>187</v>
      </c>
      <c r="H153" s="17">
        <v>5.6</v>
      </c>
      <c r="I153" s="23">
        <f t="shared" ref="I153:I159" si="40">H153-(H153/100*15)</f>
        <v>4.76</v>
      </c>
      <c r="J153" s="23">
        <f t="shared" ref="J153:J159" si="41">H153-(H153/100*20)</f>
        <v>4.4799999999999995</v>
      </c>
      <c r="K153" s="18">
        <v>16</v>
      </c>
    </row>
    <row r="154" spans="1:15" s="144" customFormat="1" ht="15" customHeight="1" x14ac:dyDescent="0.2">
      <c r="A154" s="13" t="s">
        <v>601</v>
      </c>
      <c r="B154" s="17">
        <v>3.08</v>
      </c>
      <c r="C154" s="6">
        <f t="shared" ref="C154:C159" si="42">B154-(B154/100*15)</f>
        <v>2.6179999999999999</v>
      </c>
      <c r="D154" s="6">
        <f>B154-(B154/100*19.7)</f>
        <v>2.4732400000000001</v>
      </c>
      <c r="E154" s="75">
        <v>20</v>
      </c>
      <c r="F154" s="16"/>
      <c r="G154" s="13" t="s">
        <v>186</v>
      </c>
      <c r="H154" s="17">
        <v>6.9</v>
      </c>
      <c r="I154" s="23">
        <f>H154-(H154/100*15)</f>
        <v>5.8650000000000002</v>
      </c>
      <c r="J154" s="23">
        <f>H154-(H154/100*20)</f>
        <v>5.5200000000000005</v>
      </c>
      <c r="K154" s="18">
        <v>16</v>
      </c>
    </row>
    <row r="155" spans="1:15" s="144" customFormat="1" ht="15" customHeight="1" x14ac:dyDescent="0.2">
      <c r="A155" s="13" t="s">
        <v>602</v>
      </c>
      <c r="B155" s="17">
        <v>7.63</v>
      </c>
      <c r="C155" s="6">
        <f t="shared" si="42"/>
        <v>6.4855</v>
      </c>
      <c r="D155" s="6">
        <f>B155-(B155/100*19.9)</f>
        <v>6.1116299999999999</v>
      </c>
      <c r="E155" s="75">
        <v>8</v>
      </c>
      <c r="F155" s="16"/>
      <c r="G155" s="25" t="s">
        <v>369</v>
      </c>
      <c r="H155" s="17">
        <v>5.65</v>
      </c>
      <c r="I155" s="23">
        <f t="shared" si="40"/>
        <v>4.8025000000000002</v>
      </c>
      <c r="J155" s="23">
        <f t="shared" si="41"/>
        <v>4.5200000000000005</v>
      </c>
      <c r="K155" s="18">
        <v>10</v>
      </c>
    </row>
    <row r="156" spans="1:15" s="144" customFormat="1" ht="15" customHeight="1" x14ac:dyDescent="0.2">
      <c r="A156" s="13" t="s">
        <v>603</v>
      </c>
      <c r="B156" s="17">
        <v>10.86</v>
      </c>
      <c r="C156" s="6">
        <f t="shared" si="42"/>
        <v>9.2309999999999999</v>
      </c>
      <c r="D156" s="6">
        <f>B156-(B156/100*20)</f>
        <v>8.6879999999999988</v>
      </c>
      <c r="E156" s="75">
        <v>8</v>
      </c>
      <c r="F156" s="28"/>
      <c r="G156" s="25" t="s">
        <v>370</v>
      </c>
      <c r="H156" s="17">
        <v>6.9</v>
      </c>
      <c r="I156" s="23">
        <f t="shared" si="40"/>
        <v>5.8650000000000002</v>
      </c>
      <c r="J156" s="23">
        <f t="shared" si="41"/>
        <v>5.5200000000000005</v>
      </c>
      <c r="K156" s="24">
        <v>20</v>
      </c>
    </row>
    <row r="157" spans="1:15" s="144" customFormat="1" ht="15" customHeight="1" x14ac:dyDescent="0.2">
      <c r="A157" s="13" t="s">
        <v>403</v>
      </c>
      <c r="B157" s="17">
        <v>13.66</v>
      </c>
      <c r="C157" s="6">
        <f t="shared" si="42"/>
        <v>11.611000000000001</v>
      </c>
      <c r="D157" s="6">
        <f>B157-(B157/100*20)</f>
        <v>10.928000000000001</v>
      </c>
      <c r="E157" s="75">
        <v>6</v>
      </c>
      <c r="F157" s="16"/>
      <c r="G157" s="5" t="s">
        <v>53</v>
      </c>
      <c r="H157" s="17">
        <v>4.9800000000000004</v>
      </c>
      <c r="I157" s="23">
        <v>4.24</v>
      </c>
      <c r="J157" s="23">
        <f>H157-(H157/100*19.9)</f>
        <v>3.9889800000000006</v>
      </c>
      <c r="K157" s="24">
        <v>12</v>
      </c>
    </row>
    <row r="158" spans="1:15" s="144" customFormat="1" ht="15" customHeight="1" x14ac:dyDescent="0.2">
      <c r="A158" s="13" t="s">
        <v>307</v>
      </c>
      <c r="B158" s="17">
        <v>0.86</v>
      </c>
      <c r="C158" s="6">
        <f t="shared" si="42"/>
        <v>0.73099999999999998</v>
      </c>
      <c r="D158" s="6">
        <f>B158-(B158/100*20)</f>
        <v>0.68799999999999994</v>
      </c>
      <c r="E158" s="27"/>
      <c r="F158" s="16"/>
      <c r="G158" s="13" t="s">
        <v>528</v>
      </c>
      <c r="H158" s="17">
        <v>2.27</v>
      </c>
      <c r="I158" s="23">
        <f t="shared" si="40"/>
        <v>1.9295</v>
      </c>
      <c r="J158" s="23">
        <f t="shared" si="41"/>
        <v>1.8160000000000001</v>
      </c>
      <c r="K158" s="24">
        <v>50</v>
      </c>
    </row>
    <row r="159" spans="1:15" s="144" customFormat="1" ht="15" customHeight="1" x14ac:dyDescent="0.2">
      <c r="A159" s="78" t="s">
        <v>37</v>
      </c>
      <c r="B159" s="17">
        <v>1</v>
      </c>
      <c r="C159" s="17">
        <f t="shared" si="42"/>
        <v>0.85</v>
      </c>
      <c r="D159" s="17">
        <f>B159-(B159/100*20)</f>
        <v>0.8</v>
      </c>
      <c r="E159" s="27"/>
      <c r="F159" s="16"/>
      <c r="G159" s="13" t="s">
        <v>529</v>
      </c>
      <c r="H159" s="17">
        <v>3.19</v>
      </c>
      <c r="I159" s="23">
        <f t="shared" si="40"/>
        <v>2.7115</v>
      </c>
      <c r="J159" s="23">
        <f t="shared" si="41"/>
        <v>2.552</v>
      </c>
      <c r="K159" s="24">
        <v>50</v>
      </c>
    </row>
    <row r="160" spans="1:15" s="144" customFormat="1" ht="23.25" customHeight="1" x14ac:dyDescent="0.2">
      <c r="A160" s="78" t="s">
        <v>308</v>
      </c>
      <c r="B160" s="17">
        <v>12.87</v>
      </c>
      <c r="C160" s="17">
        <f>B160-(B160/100*3.84)</f>
        <v>12.375791999999999</v>
      </c>
      <c r="D160" s="17">
        <f>C160-(C160/100*4.2)</f>
        <v>11.856008736</v>
      </c>
      <c r="E160" s="27">
        <v>20</v>
      </c>
      <c r="F160" s="16"/>
      <c r="G160" s="25" t="s">
        <v>572</v>
      </c>
      <c r="H160" s="17">
        <v>133.22</v>
      </c>
      <c r="I160" s="23">
        <v>113.24</v>
      </c>
      <c r="J160" s="23">
        <v>106.58</v>
      </c>
      <c r="K160" s="24"/>
    </row>
    <row r="161" spans="1:15" s="144" customFormat="1" ht="25.5" customHeight="1" x14ac:dyDescent="0.2">
      <c r="A161" s="78" t="s">
        <v>309</v>
      </c>
      <c r="B161" s="17">
        <v>30.62</v>
      </c>
      <c r="C161" s="17">
        <f>B161-(B161/100*3.84)</f>
        <v>29.444192000000001</v>
      </c>
      <c r="D161" s="17">
        <f>C161/125*119.97</f>
        <v>28.25935771392</v>
      </c>
      <c r="E161" s="27"/>
      <c r="F161" s="28"/>
      <c r="G161" s="25" t="s">
        <v>567</v>
      </c>
      <c r="H161" s="17">
        <v>136.57</v>
      </c>
      <c r="I161" s="23">
        <v>116.08</v>
      </c>
      <c r="J161" s="23">
        <v>109.25</v>
      </c>
      <c r="K161" s="24"/>
    </row>
    <row r="162" spans="1:15" s="144" customFormat="1" ht="23.25" customHeight="1" x14ac:dyDescent="0.2">
      <c r="A162" s="78" t="s">
        <v>404</v>
      </c>
      <c r="B162" s="17">
        <v>2.67</v>
      </c>
      <c r="C162" s="17">
        <f>B162-(B162/100*4)</f>
        <v>2.5632000000000001</v>
      </c>
      <c r="D162" s="17">
        <f>C162/125*120</f>
        <v>2.4606720000000002</v>
      </c>
      <c r="E162" s="27">
        <v>20</v>
      </c>
      <c r="F162" s="28"/>
      <c r="G162" s="25" t="s">
        <v>570</v>
      </c>
      <c r="H162" s="17">
        <v>154.27000000000001</v>
      </c>
      <c r="I162" s="23">
        <v>131.13</v>
      </c>
      <c r="J162" s="23">
        <v>123.42</v>
      </c>
      <c r="K162" s="24"/>
    </row>
    <row r="163" spans="1:15" s="144" customFormat="1" ht="24.75" customHeight="1" x14ac:dyDescent="0.2">
      <c r="A163" s="78" t="s">
        <v>38</v>
      </c>
      <c r="B163" s="17">
        <v>3.64</v>
      </c>
      <c r="C163" s="17">
        <f>B163-(B163/100*3.84)</f>
        <v>3.5002240000000002</v>
      </c>
      <c r="D163" s="17">
        <f>C163/125*120</f>
        <v>3.3602150399999999</v>
      </c>
      <c r="E163" s="27"/>
      <c r="F163" s="16"/>
      <c r="G163" s="25" t="s">
        <v>569</v>
      </c>
      <c r="H163" s="17">
        <v>168.29</v>
      </c>
      <c r="I163" s="23">
        <v>143.04</v>
      </c>
      <c r="J163" s="23">
        <v>134.63</v>
      </c>
      <c r="K163" s="24"/>
    </row>
    <row r="164" spans="1:15" s="144" customFormat="1" ht="29.25" customHeight="1" x14ac:dyDescent="0.2">
      <c r="A164" s="80" t="s">
        <v>430</v>
      </c>
      <c r="B164" s="37">
        <v>5.33</v>
      </c>
      <c r="C164" s="37">
        <f>B164-(B164/100*3.84)</f>
        <v>5.1253279999999997</v>
      </c>
      <c r="D164" s="17">
        <f>C164/125*120</f>
        <v>4.9203148799999994</v>
      </c>
      <c r="E164" s="39">
        <v>15</v>
      </c>
      <c r="F164" s="16"/>
      <c r="G164" s="25" t="s">
        <v>568</v>
      </c>
      <c r="H164" s="17">
        <v>189.34</v>
      </c>
      <c r="I164" s="23">
        <v>160.94</v>
      </c>
      <c r="J164" s="23">
        <v>151.47</v>
      </c>
      <c r="K164" s="24"/>
    </row>
    <row r="165" spans="1:15" s="144" customFormat="1" ht="24.75" customHeight="1" x14ac:dyDescent="0.2">
      <c r="A165" s="80" t="s">
        <v>310</v>
      </c>
      <c r="B165" s="37">
        <v>1.34</v>
      </c>
      <c r="C165" s="37">
        <f>B165-(B165/100*15)</f>
        <v>1.139</v>
      </c>
      <c r="D165" s="37">
        <f>B165-(B165/100*20)</f>
        <v>1.0720000000000001</v>
      </c>
      <c r="E165" s="27">
        <v>250</v>
      </c>
      <c r="F165" s="16">
        <v>120</v>
      </c>
      <c r="G165" s="25" t="s">
        <v>571</v>
      </c>
      <c r="H165" s="17">
        <v>199.89</v>
      </c>
      <c r="I165" s="23">
        <v>169.91</v>
      </c>
      <c r="J165" s="23">
        <v>159.91</v>
      </c>
      <c r="K165" s="24"/>
    </row>
    <row r="166" spans="1:15" s="144" customFormat="1" ht="17.25" customHeight="1" x14ac:dyDescent="0.2">
      <c r="A166" s="165" t="s">
        <v>40</v>
      </c>
      <c r="B166" s="165"/>
      <c r="C166" s="165"/>
      <c r="D166" s="165"/>
      <c r="E166" s="165"/>
      <c r="F166" s="28"/>
      <c r="G166" s="13" t="s">
        <v>185</v>
      </c>
      <c r="H166" s="17">
        <v>3.77</v>
      </c>
      <c r="I166" s="23">
        <f>H166-(H166/100*3.84)</f>
        <v>3.625232</v>
      </c>
      <c r="J166" s="23">
        <f>H166/125*115.5</f>
        <v>3.4834800000000001</v>
      </c>
      <c r="K166" s="24"/>
    </row>
    <row r="167" spans="1:15" s="144" customFormat="1" ht="15" customHeight="1" x14ac:dyDescent="0.2">
      <c r="A167" s="10" t="s">
        <v>288</v>
      </c>
      <c r="B167" s="11">
        <v>0.27</v>
      </c>
      <c r="C167" s="84">
        <f t="shared" ref="C167:D172" si="43">B167-(B167/100*3.84)</f>
        <v>0.25963200000000003</v>
      </c>
      <c r="D167" s="84">
        <f t="shared" si="43"/>
        <v>0.24966213120000003</v>
      </c>
      <c r="E167" s="85"/>
      <c r="F167" s="16"/>
      <c r="G167" s="72" t="s">
        <v>416</v>
      </c>
      <c r="H167" s="17">
        <v>3.15</v>
      </c>
      <c r="I167" s="32">
        <f>H167-(H167/100*15)</f>
        <v>2.6774999999999998</v>
      </c>
      <c r="J167" s="32">
        <f>H167-(H167/100*20)</f>
        <v>2.52</v>
      </c>
      <c r="K167" s="29">
        <v>10</v>
      </c>
      <c r="M167" s="143"/>
      <c r="N167" s="143"/>
      <c r="O167" s="143"/>
    </row>
    <row r="168" spans="1:15" s="144" customFormat="1" ht="17.25" customHeight="1" x14ac:dyDescent="0.2">
      <c r="A168" s="10" t="s">
        <v>41</v>
      </c>
      <c r="B168" s="17">
        <v>0.28999999999999998</v>
      </c>
      <c r="C168" s="84">
        <f t="shared" si="43"/>
        <v>0.278864</v>
      </c>
      <c r="D168" s="84">
        <f>C168-(C168/100*5)</f>
        <v>0.26492080000000001</v>
      </c>
      <c r="E168" s="85">
        <v>500</v>
      </c>
      <c r="F168" s="16"/>
      <c r="G168" s="72" t="s">
        <v>415</v>
      </c>
      <c r="H168" s="17">
        <v>3.1</v>
      </c>
      <c r="I168" s="32">
        <f>H168-(H168/100*15)</f>
        <v>2.6350000000000002</v>
      </c>
      <c r="J168" s="32">
        <f>H168-(H168/100*20)</f>
        <v>2.48</v>
      </c>
      <c r="K168" s="29">
        <v>20</v>
      </c>
      <c r="L168" s="143"/>
      <c r="M168" s="143"/>
      <c r="N168" s="143"/>
      <c r="O168" s="143"/>
    </row>
    <row r="169" spans="1:15" s="144" customFormat="1" ht="15.75" customHeight="1" x14ac:dyDescent="0.2">
      <c r="A169" s="13" t="s">
        <v>42</v>
      </c>
      <c r="B169" s="17">
        <v>0.31</v>
      </c>
      <c r="C169" s="86">
        <f t="shared" si="43"/>
        <v>0.29809599999999997</v>
      </c>
      <c r="D169" s="86">
        <f t="shared" si="43"/>
        <v>0.28664911359999995</v>
      </c>
      <c r="E169" s="70">
        <v>400</v>
      </c>
      <c r="F169" s="16"/>
      <c r="G169" s="25" t="s">
        <v>322</v>
      </c>
      <c r="H169" s="17">
        <v>1.54</v>
      </c>
      <c r="I169" s="23">
        <f>H169-(H169/100*15)</f>
        <v>1.3089999999999999</v>
      </c>
      <c r="J169" s="32">
        <f>H169-(H169/100*20)</f>
        <v>1.232</v>
      </c>
      <c r="K169" s="24">
        <v>70</v>
      </c>
      <c r="L169" s="143"/>
      <c r="M169" s="143"/>
      <c r="N169" s="143"/>
      <c r="O169" s="143"/>
    </row>
    <row r="170" spans="1:15" s="144" customFormat="1" ht="17.25" customHeight="1" x14ac:dyDescent="0.2">
      <c r="A170" s="13" t="s">
        <v>43</v>
      </c>
      <c r="B170" s="17">
        <v>0.55000000000000004</v>
      </c>
      <c r="C170" s="86">
        <f t="shared" si="43"/>
        <v>0.52888000000000002</v>
      </c>
      <c r="D170" s="86">
        <f>C170/125*119</f>
        <v>0.50349376000000001</v>
      </c>
      <c r="E170" s="70">
        <v>100</v>
      </c>
      <c r="F170" s="16"/>
      <c r="G170" s="25" t="s">
        <v>56</v>
      </c>
      <c r="H170" s="17">
        <v>1.74</v>
      </c>
      <c r="I170" s="23">
        <f t="shared" ref="I170:I175" si="44">H170-(H170/100*15)</f>
        <v>1.4790000000000001</v>
      </c>
      <c r="J170" s="32">
        <f>H170-(H170/100*20)</f>
        <v>1.3919999999999999</v>
      </c>
      <c r="K170" s="24">
        <v>36</v>
      </c>
      <c r="L170" s="143"/>
      <c r="M170" s="143"/>
      <c r="N170" s="143"/>
      <c r="O170" s="143"/>
    </row>
    <row r="171" spans="1:15" s="144" customFormat="1" ht="17.25" customHeight="1" x14ac:dyDescent="0.2">
      <c r="A171" s="13" t="s">
        <v>45</v>
      </c>
      <c r="B171" s="17">
        <v>0.51</v>
      </c>
      <c r="C171" s="86">
        <f t="shared" si="43"/>
        <v>0.49041600000000002</v>
      </c>
      <c r="D171" s="86">
        <f t="shared" si="43"/>
        <v>0.47158402560000001</v>
      </c>
      <c r="E171" s="70">
        <v>100</v>
      </c>
      <c r="F171" s="16"/>
      <c r="G171" s="13" t="s">
        <v>57</v>
      </c>
      <c r="H171" s="17">
        <v>1.92</v>
      </c>
      <c r="I171" s="23">
        <f>H171-(H171/100*10.3)</f>
        <v>1.72224</v>
      </c>
      <c r="J171" s="32">
        <f>H171-(H171/100*20.3)</f>
        <v>1.53024</v>
      </c>
      <c r="K171" s="24">
        <v>25</v>
      </c>
      <c r="L171" s="143"/>
      <c r="M171" s="143"/>
      <c r="N171" s="143"/>
      <c r="O171" s="143"/>
    </row>
    <row r="172" spans="1:15" s="144" customFormat="1" ht="15.75" customHeight="1" x14ac:dyDescent="0.2">
      <c r="A172" s="13" t="s">
        <v>395</v>
      </c>
      <c r="B172" s="17">
        <v>1.21</v>
      </c>
      <c r="C172" s="86">
        <f t="shared" si="43"/>
        <v>1.1635359999999999</v>
      </c>
      <c r="D172" s="86">
        <f t="shared" si="43"/>
        <v>1.1188562175999999</v>
      </c>
      <c r="E172" s="70"/>
      <c r="F172" s="16"/>
      <c r="G172" s="13" t="s">
        <v>323</v>
      </c>
      <c r="H172" s="17">
        <v>2.2200000000000002</v>
      </c>
      <c r="I172" s="23">
        <f>H172-(H172/100*15)</f>
        <v>1.8870000000000002</v>
      </c>
      <c r="J172" s="32">
        <f>H172-(H172/100*20)</f>
        <v>1.7760000000000002</v>
      </c>
      <c r="K172" s="24">
        <v>50</v>
      </c>
      <c r="L172" s="143"/>
      <c r="M172" s="143"/>
      <c r="N172" s="143"/>
      <c r="O172" s="143"/>
    </row>
    <row r="173" spans="1:15" s="144" customFormat="1" ht="16.5" customHeight="1" x14ac:dyDescent="0.2">
      <c r="A173" s="13" t="s">
        <v>289</v>
      </c>
      <c r="B173" s="17">
        <v>0.65</v>
      </c>
      <c r="C173" s="86">
        <f>B173-(B173/100*15)</f>
        <v>0.55249999999999999</v>
      </c>
      <c r="D173" s="86">
        <f t="shared" ref="D173:D178" si="45">B173-(B173/100*20)</f>
        <v>0.52</v>
      </c>
      <c r="E173" s="70">
        <v>96</v>
      </c>
      <c r="F173" s="16"/>
      <c r="G173" s="13" t="s">
        <v>324</v>
      </c>
      <c r="H173" s="17">
        <v>3.54</v>
      </c>
      <c r="I173" s="23">
        <f t="shared" si="44"/>
        <v>3.0089999999999999</v>
      </c>
      <c r="J173" s="32">
        <f>H173-(H173/100*20)</f>
        <v>2.8319999999999999</v>
      </c>
      <c r="K173" s="24">
        <v>35</v>
      </c>
      <c r="L173" s="143"/>
      <c r="M173" s="143"/>
      <c r="N173" s="143"/>
      <c r="O173" s="143"/>
    </row>
    <row r="174" spans="1:15" s="144" customFormat="1" ht="15.75" customHeight="1" x14ac:dyDescent="0.2">
      <c r="A174" s="25" t="s">
        <v>48</v>
      </c>
      <c r="B174" s="17">
        <v>0.92</v>
      </c>
      <c r="C174" s="86">
        <f>B174-(B174/100*15)</f>
        <v>0.78200000000000003</v>
      </c>
      <c r="D174" s="86">
        <f t="shared" si="45"/>
        <v>0.73599999999999999</v>
      </c>
      <c r="E174" s="70">
        <v>96</v>
      </c>
      <c r="F174" s="16"/>
      <c r="G174" s="13" t="s">
        <v>59</v>
      </c>
      <c r="H174" s="17">
        <v>4.01</v>
      </c>
      <c r="I174" s="23">
        <f t="shared" si="44"/>
        <v>3.4085000000000001</v>
      </c>
      <c r="J174" s="23">
        <f>H174-(H174/100*20)</f>
        <v>3.2079999999999997</v>
      </c>
      <c r="K174" s="24">
        <v>30</v>
      </c>
      <c r="L174" s="143"/>
      <c r="M174" s="143"/>
    </row>
    <row r="175" spans="1:15" s="144" customFormat="1" ht="15" customHeight="1" x14ac:dyDescent="0.2">
      <c r="A175" s="25" t="s">
        <v>592</v>
      </c>
      <c r="B175" s="17">
        <v>1.1299999999999999</v>
      </c>
      <c r="C175" s="86">
        <f t="shared" ref="C175" si="46">B175-(B175/100*15)</f>
        <v>0.96049999999999991</v>
      </c>
      <c r="D175" s="86">
        <f t="shared" si="45"/>
        <v>0.90399999999999991</v>
      </c>
      <c r="E175" s="70">
        <v>480</v>
      </c>
      <c r="F175" s="16"/>
      <c r="G175" s="25" t="s">
        <v>511</v>
      </c>
      <c r="H175" s="17">
        <v>8.18</v>
      </c>
      <c r="I175" s="23">
        <f t="shared" si="44"/>
        <v>6.9529999999999994</v>
      </c>
      <c r="J175" s="23">
        <f>H175-(H175/100*20)</f>
        <v>6.5439999999999996</v>
      </c>
      <c r="K175" s="24">
        <v>24</v>
      </c>
      <c r="L175" s="143"/>
      <c r="M175" s="143"/>
    </row>
    <row r="176" spans="1:15" s="144" customFormat="1" ht="15" customHeight="1" x14ac:dyDescent="0.2">
      <c r="A176" s="25" t="s">
        <v>591</v>
      </c>
      <c r="B176" s="17">
        <v>1.1299999999999999</v>
      </c>
      <c r="C176" s="86">
        <f t="shared" ref="C176:C190" si="47">B176-(B176/100*15)</f>
        <v>0.96049999999999991</v>
      </c>
      <c r="D176" s="86">
        <f t="shared" si="45"/>
        <v>0.90399999999999991</v>
      </c>
      <c r="E176" s="70">
        <v>240</v>
      </c>
      <c r="F176" s="16"/>
      <c r="G176" s="13" t="s">
        <v>613</v>
      </c>
      <c r="H176" s="17">
        <v>5.46</v>
      </c>
      <c r="I176" s="23">
        <f>H176-(H176/100*3.8)</f>
        <v>5.2525199999999996</v>
      </c>
      <c r="J176" s="23">
        <f>H176-(H176/100*7.75)</f>
        <v>5.0368500000000003</v>
      </c>
      <c r="K176" s="24"/>
      <c r="L176" s="143"/>
      <c r="M176" s="143"/>
      <c r="N176" s="143"/>
      <c r="O176" s="143"/>
    </row>
    <row r="177" spans="1:15" s="144" customFormat="1" ht="16.5" customHeight="1" x14ac:dyDescent="0.2">
      <c r="A177" s="25" t="s">
        <v>593</v>
      </c>
      <c r="B177" s="17">
        <v>1.1299999999999999</v>
      </c>
      <c r="C177" s="86">
        <f t="shared" ref="C177" si="48">B177-(B177/100*15)</f>
        <v>0.96049999999999991</v>
      </c>
      <c r="D177" s="86">
        <f t="shared" si="45"/>
        <v>0.90399999999999991</v>
      </c>
      <c r="E177" s="70">
        <v>120</v>
      </c>
      <c r="F177" s="28"/>
      <c r="G177" s="13" t="s">
        <v>325</v>
      </c>
      <c r="H177" s="17">
        <v>2.34</v>
      </c>
      <c r="I177" s="23">
        <f t="shared" ref="I177:J178" si="49">H177-(H177/100*3.84)</f>
        <v>2.2501439999999997</v>
      </c>
      <c r="J177" s="23">
        <f>I177-(I177/100*4)</f>
        <v>2.1601382399999998</v>
      </c>
      <c r="K177" s="24"/>
      <c r="L177" s="143"/>
      <c r="M177" s="143"/>
      <c r="N177" s="143"/>
      <c r="O177" s="143"/>
    </row>
    <row r="178" spans="1:15" s="144" customFormat="1" ht="15" customHeight="1" x14ac:dyDescent="0.2">
      <c r="A178" s="25" t="s">
        <v>594</v>
      </c>
      <c r="B178" s="17">
        <v>0.77</v>
      </c>
      <c r="C178" s="86">
        <f>B178-(B178/100*14.5)</f>
        <v>0.65834999999999999</v>
      </c>
      <c r="D178" s="86">
        <f t="shared" si="45"/>
        <v>0.61599999999999999</v>
      </c>
      <c r="E178" s="70">
        <v>240</v>
      </c>
      <c r="F178" s="28"/>
      <c r="G178" s="13" t="s">
        <v>439</v>
      </c>
      <c r="H178" s="17">
        <v>2.34</v>
      </c>
      <c r="I178" s="23">
        <f>H178-(H178/100*4)</f>
        <v>2.2464</v>
      </c>
      <c r="J178" s="23">
        <f t="shared" si="49"/>
        <v>2.1601382399999998</v>
      </c>
      <c r="K178" s="24">
        <v>100</v>
      </c>
      <c r="L178" s="143"/>
      <c r="O178" s="143"/>
    </row>
    <row r="179" spans="1:15" s="144" customFormat="1" ht="15" customHeight="1" x14ac:dyDescent="0.2">
      <c r="A179" s="25" t="s">
        <v>437</v>
      </c>
      <c r="B179" s="17">
        <v>1.94</v>
      </c>
      <c r="C179" s="86">
        <f>B179-(B179/100*3.9)</f>
        <v>1.8643399999999999</v>
      </c>
      <c r="D179" s="86">
        <f>C179/125*120</f>
        <v>1.7897664</v>
      </c>
      <c r="E179" s="70">
        <v>120</v>
      </c>
      <c r="F179" s="28"/>
      <c r="G179" s="13" t="s">
        <v>326</v>
      </c>
      <c r="H179" s="17">
        <v>1.87</v>
      </c>
      <c r="I179" s="23">
        <f t="shared" ref="I179:I199" si="50">H179-(H179/100*15)</f>
        <v>1.5895000000000001</v>
      </c>
      <c r="J179" s="23">
        <f>H179-(H179/100*20.3)</f>
        <v>1.4903900000000001</v>
      </c>
      <c r="K179" s="24">
        <v>82</v>
      </c>
      <c r="L179" s="143"/>
      <c r="O179" s="143"/>
    </row>
    <row r="180" spans="1:15" s="144" customFormat="1" ht="15" customHeight="1" x14ac:dyDescent="0.2">
      <c r="A180" s="51" t="s">
        <v>49</v>
      </c>
      <c r="B180" s="17">
        <v>16.07</v>
      </c>
      <c r="C180" s="17">
        <f t="shared" si="47"/>
        <v>13.6595</v>
      </c>
      <c r="D180" s="17">
        <f>B180-(B180/100*20)</f>
        <v>12.856</v>
      </c>
      <c r="E180" s="20">
        <v>10</v>
      </c>
      <c r="F180" s="35"/>
      <c r="G180" s="13" t="s">
        <v>164</v>
      </c>
      <c r="H180" s="17">
        <v>1.39</v>
      </c>
      <c r="I180" s="23">
        <f>H180-(H180/100*15)</f>
        <v>1.1815</v>
      </c>
      <c r="J180" s="23">
        <f>H180-(H180/100*20)</f>
        <v>1.1119999999999999</v>
      </c>
      <c r="K180" s="24"/>
      <c r="L180" s="143"/>
    </row>
    <row r="181" spans="1:15" s="144" customFormat="1" ht="15" customHeight="1" x14ac:dyDescent="0.2">
      <c r="A181" s="66" t="s">
        <v>50</v>
      </c>
      <c r="B181" s="17">
        <v>0.92</v>
      </c>
      <c r="C181" s="17">
        <f t="shared" si="47"/>
        <v>0.78200000000000003</v>
      </c>
      <c r="D181" s="17">
        <f>B181-(B181/100*20)</f>
        <v>0.73599999999999999</v>
      </c>
      <c r="E181" s="29">
        <v>144</v>
      </c>
      <c r="F181" s="41"/>
      <c r="G181" s="13" t="s">
        <v>64</v>
      </c>
      <c r="H181" s="17">
        <v>1.43</v>
      </c>
      <c r="I181" s="23">
        <f>H181-(H181/100*15)</f>
        <v>1.2155</v>
      </c>
      <c r="J181" s="23">
        <f>H181-(H181/100*19.5)</f>
        <v>1.1511499999999999</v>
      </c>
      <c r="K181" s="24">
        <v>50</v>
      </c>
    </row>
    <row r="182" spans="1:15" s="144" customFormat="1" ht="15" customHeight="1" x14ac:dyDescent="0.2">
      <c r="A182" s="31" t="s">
        <v>367</v>
      </c>
      <c r="B182" s="17">
        <v>2.5</v>
      </c>
      <c r="C182" s="86">
        <f t="shared" si="47"/>
        <v>2.125</v>
      </c>
      <c r="D182" s="17">
        <f>B182-(B182/100*20)</f>
        <v>2</v>
      </c>
      <c r="E182" s="74">
        <v>50</v>
      </c>
      <c r="F182" s="35"/>
      <c r="G182" s="13" t="s">
        <v>66</v>
      </c>
      <c r="H182" s="94">
        <v>1.32</v>
      </c>
      <c r="I182" s="23">
        <v>1.32</v>
      </c>
      <c r="J182" s="23">
        <f>H182-(H182/100*6)</f>
        <v>1.2408000000000001</v>
      </c>
      <c r="K182" s="24">
        <v>40</v>
      </c>
    </row>
    <row r="183" spans="1:15" s="144" customFormat="1" ht="15" customHeight="1" x14ac:dyDescent="0.2">
      <c r="A183" s="13" t="s">
        <v>401</v>
      </c>
      <c r="B183" s="17">
        <v>8.15</v>
      </c>
      <c r="C183" s="86">
        <f t="shared" si="47"/>
        <v>6.9275000000000002</v>
      </c>
      <c r="D183" s="17">
        <f>B183-(B183/100*20)</f>
        <v>6.5200000000000005</v>
      </c>
      <c r="E183" s="74">
        <v>10</v>
      </c>
      <c r="F183" s="28"/>
      <c r="G183" s="13" t="s">
        <v>165</v>
      </c>
      <c r="H183" s="17">
        <v>0.82</v>
      </c>
      <c r="I183" s="23">
        <f>H183-(H183/100*15)</f>
        <v>0.69699999999999995</v>
      </c>
      <c r="J183" s="23">
        <f>H183-(H183/100*20)</f>
        <v>0.65599999999999992</v>
      </c>
      <c r="K183" s="24">
        <v>240</v>
      </c>
    </row>
    <row r="184" spans="1:15" s="144" customFormat="1" ht="15" customHeight="1" x14ac:dyDescent="0.2">
      <c r="A184" s="13" t="s">
        <v>590</v>
      </c>
      <c r="B184" s="17">
        <v>6.62</v>
      </c>
      <c r="C184" s="86">
        <f>B184-(B184/100*15)</f>
        <v>5.6270000000000007</v>
      </c>
      <c r="D184" s="86">
        <f>C184-(C184/100*5.9)</f>
        <v>5.2950070000000009</v>
      </c>
      <c r="E184" s="74">
        <v>400</v>
      </c>
      <c r="F184" s="28"/>
      <c r="G184" s="13" t="s">
        <v>161</v>
      </c>
      <c r="H184" s="17">
        <v>1.0900000000000001</v>
      </c>
      <c r="I184" s="23">
        <f t="shared" si="50"/>
        <v>0.9265000000000001</v>
      </c>
      <c r="J184" s="23">
        <f>H184-(H184/100*20)</f>
        <v>0.87200000000000011</v>
      </c>
      <c r="K184" s="24">
        <v>55</v>
      </c>
    </row>
    <row r="185" spans="1:15" s="144" customFormat="1" ht="15" customHeight="1" x14ac:dyDescent="0.2">
      <c r="A185" s="13" t="s">
        <v>589</v>
      </c>
      <c r="B185" s="17">
        <v>6.83</v>
      </c>
      <c r="C185" s="86">
        <f>B185-(B185/100*15)</f>
        <v>5.8055000000000003</v>
      </c>
      <c r="D185" s="86">
        <f>C185-(C185/100*5.7)</f>
        <v>5.4745865</v>
      </c>
      <c r="E185" s="74">
        <v>10</v>
      </c>
      <c r="F185" s="28"/>
      <c r="G185" s="13" t="s">
        <v>69</v>
      </c>
      <c r="H185" s="17">
        <v>1.0900000000000001</v>
      </c>
      <c r="I185" s="23">
        <v>0.92</v>
      </c>
      <c r="J185" s="23">
        <f>H185-(H185/100*20.5)</f>
        <v>0.86655000000000004</v>
      </c>
      <c r="K185" s="24">
        <v>108</v>
      </c>
    </row>
    <row r="186" spans="1:15" s="144" customFormat="1" ht="15" customHeight="1" x14ac:dyDescent="0.2">
      <c r="A186" s="25" t="s">
        <v>502</v>
      </c>
      <c r="B186" s="17">
        <v>9.66</v>
      </c>
      <c r="C186" s="86">
        <f t="shared" si="47"/>
        <v>8.2110000000000003</v>
      </c>
      <c r="D186" s="86">
        <f t="shared" ref="D186:D192" si="51">B186-(B186/100*20)</f>
        <v>7.7279999999999998</v>
      </c>
      <c r="E186" s="74">
        <v>9</v>
      </c>
      <c r="F186" s="28"/>
      <c r="G186" s="13" t="s">
        <v>371</v>
      </c>
      <c r="H186" s="17">
        <v>10.36</v>
      </c>
      <c r="I186" s="23">
        <f t="shared" si="50"/>
        <v>8.8059999999999992</v>
      </c>
      <c r="J186" s="23">
        <f>H186-(H186/100*20)</f>
        <v>8.2880000000000003</v>
      </c>
      <c r="K186" s="24">
        <v>12</v>
      </c>
    </row>
    <row r="187" spans="1:15" s="144" customFormat="1" ht="15" customHeight="1" x14ac:dyDescent="0.2">
      <c r="A187" s="25" t="s">
        <v>202</v>
      </c>
      <c r="B187" s="17">
        <v>14.01</v>
      </c>
      <c r="C187" s="86">
        <f t="shared" si="47"/>
        <v>11.9085</v>
      </c>
      <c r="D187" s="86">
        <f t="shared" si="51"/>
        <v>11.208</v>
      </c>
      <c r="E187" s="74">
        <v>10</v>
      </c>
      <c r="F187" s="28"/>
      <c r="G187" s="13" t="s">
        <v>372</v>
      </c>
      <c r="H187" s="17">
        <v>2.02</v>
      </c>
      <c r="I187" s="23">
        <f t="shared" si="50"/>
        <v>1.7170000000000001</v>
      </c>
      <c r="J187" s="23">
        <f>H187-(H187/100*20)</f>
        <v>1.6160000000000001</v>
      </c>
      <c r="K187" s="24">
        <v>16</v>
      </c>
    </row>
    <row r="188" spans="1:15" s="144" customFormat="1" ht="15" customHeight="1" x14ac:dyDescent="0.2">
      <c r="A188" s="36" t="s">
        <v>500</v>
      </c>
      <c r="B188" s="37">
        <v>9.57</v>
      </c>
      <c r="C188" s="86">
        <f>B188-(B188/100*15)</f>
        <v>8.1344999999999992</v>
      </c>
      <c r="D188" s="86">
        <f>B188-(B188/100*20.1)</f>
        <v>7.6464300000000005</v>
      </c>
      <c r="E188" s="92">
        <v>10</v>
      </c>
      <c r="F188" s="28"/>
      <c r="G188" s="13" t="s">
        <v>373</v>
      </c>
      <c r="H188" s="17">
        <v>2.2400000000000002</v>
      </c>
      <c r="I188" s="23">
        <f>H188-(H188/100*14.7)</f>
        <v>1.9107200000000002</v>
      </c>
      <c r="J188" s="23">
        <f>I188/125*118</f>
        <v>1.8037196800000004</v>
      </c>
      <c r="K188" s="24">
        <v>16</v>
      </c>
    </row>
    <row r="189" spans="1:15" s="144" customFormat="1" ht="15" customHeight="1" x14ac:dyDescent="0.2">
      <c r="A189" s="13" t="s">
        <v>203</v>
      </c>
      <c r="B189" s="17">
        <v>14.48</v>
      </c>
      <c r="C189" s="86">
        <f t="shared" si="47"/>
        <v>12.308</v>
      </c>
      <c r="D189" s="86">
        <f t="shared" si="51"/>
        <v>11.584</v>
      </c>
      <c r="E189" s="91">
        <v>10</v>
      </c>
      <c r="F189" s="28"/>
      <c r="G189" s="13" t="s">
        <v>71</v>
      </c>
      <c r="H189" s="17">
        <v>2.36</v>
      </c>
      <c r="I189" s="23">
        <f t="shared" si="50"/>
        <v>2.0059999999999998</v>
      </c>
      <c r="J189" s="23">
        <f>I189-(I189/100*6)</f>
        <v>1.8856399999999998</v>
      </c>
      <c r="K189" s="24">
        <v>18</v>
      </c>
    </row>
    <row r="190" spans="1:15" s="144" customFormat="1" ht="22.5" customHeight="1" x14ac:dyDescent="0.2">
      <c r="A190" s="25" t="s">
        <v>311</v>
      </c>
      <c r="B190" s="17">
        <v>11.37</v>
      </c>
      <c r="C190" s="86">
        <f t="shared" si="47"/>
        <v>9.6644999999999985</v>
      </c>
      <c r="D190" s="86">
        <f t="shared" si="51"/>
        <v>9.0960000000000001</v>
      </c>
      <c r="E190" s="91"/>
      <c r="F190" s="28"/>
      <c r="G190" s="13" t="s">
        <v>162</v>
      </c>
      <c r="H190" s="17">
        <v>2.9</v>
      </c>
      <c r="I190" s="23">
        <f t="shared" si="50"/>
        <v>2.4649999999999999</v>
      </c>
      <c r="J190" s="23">
        <f>H190-(H190/100*20)</f>
        <v>2.3199999999999998</v>
      </c>
      <c r="K190" s="24">
        <v>50</v>
      </c>
    </row>
    <row r="191" spans="1:15" s="144" customFormat="1" ht="15" customHeight="1" x14ac:dyDescent="0.2">
      <c r="A191" s="25" t="s">
        <v>344</v>
      </c>
      <c r="B191" s="37">
        <v>12.77</v>
      </c>
      <c r="C191" s="86">
        <f>B191-(B191/100*14.95)</f>
        <v>10.860885</v>
      </c>
      <c r="D191" s="86">
        <f>B191-(B191/100*20)</f>
        <v>10.215999999999999</v>
      </c>
      <c r="E191" s="92">
        <v>10</v>
      </c>
      <c r="F191" s="28"/>
      <c r="G191" s="13" t="s">
        <v>72</v>
      </c>
      <c r="H191" s="17">
        <v>2.52</v>
      </c>
      <c r="I191" s="23">
        <f t="shared" si="50"/>
        <v>2.1419999999999999</v>
      </c>
      <c r="J191" s="23">
        <f>H191-(H191/100*19.8)</f>
        <v>2.0210400000000002</v>
      </c>
      <c r="K191" s="24">
        <v>36</v>
      </c>
      <c r="M191" s="133"/>
      <c r="N191" s="133"/>
    </row>
    <row r="192" spans="1:15" s="144" customFormat="1" ht="26.25" customHeight="1" x14ac:dyDescent="0.2">
      <c r="A192" s="25" t="s">
        <v>204</v>
      </c>
      <c r="B192" s="37">
        <v>13.68</v>
      </c>
      <c r="C192" s="86">
        <f>B192-(B192/100*15)</f>
        <v>11.628</v>
      </c>
      <c r="D192" s="86">
        <f t="shared" si="51"/>
        <v>10.943999999999999</v>
      </c>
      <c r="E192" s="92">
        <v>10</v>
      </c>
      <c r="F192" s="97"/>
      <c r="G192" s="13" t="s">
        <v>74</v>
      </c>
      <c r="H192" s="17">
        <v>6.72</v>
      </c>
      <c r="I192" s="23">
        <f t="shared" si="50"/>
        <v>5.7119999999999997</v>
      </c>
      <c r="J192" s="23">
        <f>H192-(H192/100*20)</f>
        <v>5.3759999999999994</v>
      </c>
      <c r="K192" s="24">
        <v>10</v>
      </c>
      <c r="M192" s="133"/>
      <c r="N192" s="133"/>
    </row>
    <row r="193" spans="1:14" s="144" customFormat="1" ht="15" customHeight="1" x14ac:dyDescent="0.2">
      <c r="A193" s="25" t="s">
        <v>498</v>
      </c>
      <c r="B193" s="37">
        <v>15.16</v>
      </c>
      <c r="C193" s="86">
        <f>B193-(B193/100*15)</f>
        <v>12.885999999999999</v>
      </c>
      <c r="D193" s="86">
        <f>B193-(B193/100*20)</f>
        <v>12.128</v>
      </c>
      <c r="E193" s="92">
        <v>10</v>
      </c>
      <c r="F193" s="28"/>
      <c r="G193" s="13" t="s">
        <v>75</v>
      </c>
      <c r="H193" s="17">
        <v>3.04</v>
      </c>
      <c r="I193" s="23">
        <f>H193-(H193/100*3.5)</f>
        <v>2.9336000000000002</v>
      </c>
      <c r="J193" s="23">
        <f>I193/125*119.7</f>
        <v>2.8092153600000001</v>
      </c>
      <c r="K193" s="24">
        <v>10</v>
      </c>
      <c r="M193" s="133"/>
      <c r="N193" s="133"/>
    </row>
    <row r="194" spans="1:14" s="144" customFormat="1" ht="15" customHeight="1" x14ac:dyDescent="0.2">
      <c r="A194" s="25" t="s">
        <v>496</v>
      </c>
      <c r="B194" s="37">
        <v>15.61</v>
      </c>
      <c r="C194" s="86">
        <f>B194-(B194/100*15)</f>
        <v>13.2685</v>
      </c>
      <c r="D194" s="86">
        <f>B194-(B194/100*20)</f>
        <v>12.488</v>
      </c>
      <c r="E194" s="92"/>
      <c r="F194" s="28"/>
      <c r="G194" s="13" t="s">
        <v>495</v>
      </c>
      <c r="H194" s="17">
        <v>4.8499999999999996</v>
      </c>
      <c r="I194" s="23">
        <f>H194-(H194/100*14.8)</f>
        <v>4.1321999999999992</v>
      </c>
      <c r="J194" s="23">
        <f>H194-(H194/100*20.8)</f>
        <v>3.8411999999999997</v>
      </c>
      <c r="K194" s="24">
        <v>25</v>
      </c>
      <c r="M194" s="133"/>
      <c r="N194" s="133"/>
    </row>
    <row r="195" spans="1:14" s="144" customFormat="1" ht="22.5" customHeight="1" x14ac:dyDescent="0.2">
      <c r="A195" s="25" t="s">
        <v>517</v>
      </c>
      <c r="B195" s="37">
        <v>22.11</v>
      </c>
      <c r="C195" s="86">
        <f>B195-(B195/100*15)</f>
        <v>18.793499999999998</v>
      </c>
      <c r="D195" s="86">
        <f>B195-(B195/100*20)</f>
        <v>17.687999999999999</v>
      </c>
      <c r="E195" s="92"/>
      <c r="F195" s="28"/>
      <c r="G195" s="13" t="s">
        <v>374</v>
      </c>
      <c r="H195" s="17">
        <v>2.34</v>
      </c>
      <c r="I195" s="23">
        <f t="shared" si="50"/>
        <v>1.9889999999999999</v>
      </c>
      <c r="J195" s="23">
        <f>H195-(H195/100*20)</f>
        <v>1.8719999999999999</v>
      </c>
      <c r="K195" s="24">
        <v>25</v>
      </c>
      <c r="M195" s="133"/>
      <c r="N195" s="133"/>
    </row>
    <row r="196" spans="1:14" s="144" customFormat="1" ht="18.75" customHeight="1" x14ac:dyDescent="0.2">
      <c r="A196" s="165" t="s">
        <v>52</v>
      </c>
      <c r="B196" s="165"/>
      <c r="C196" s="165"/>
      <c r="D196" s="165"/>
      <c r="E196" s="165"/>
      <c r="F196" s="28"/>
      <c r="G196" s="90" t="s">
        <v>433</v>
      </c>
      <c r="H196" s="17">
        <v>2.34</v>
      </c>
      <c r="I196" s="23">
        <f t="shared" si="50"/>
        <v>1.9889999999999999</v>
      </c>
      <c r="J196" s="23">
        <f>H196-(H196/100*20)</f>
        <v>1.8719999999999999</v>
      </c>
      <c r="K196" s="24">
        <v>24</v>
      </c>
      <c r="M196" s="133"/>
      <c r="N196" s="133"/>
    </row>
    <row r="197" spans="1:14" s="144" customFormat="1" ht="15" customHeight="1" x14ac:dyDescent="0.2">
      <c r="A197" s="10" t="s">
        <v>349</v>
      </c>
      <c r="B197" s="11">
        <v>4.41</v>
      </c>
      <c r="C197" s="11">
        <f>B197-(B197/100*15)</f>
        <v>3.7484999999999999</v>
      </c>
      <c r="D197" s="11">
        <f>B197-(B197/100*20)</f>
        <v>3.528</v>
      </c>
      <c r="E197" s="34">
        <v>16</v>
      </c>
      <c r="F197" s="28"/>
      <c r="G197" s="96" t="s">
        <v>434</v>
      </c>
      <c r="H197" s="17">
        <v>2.0299999999999998</v>
      </c>
      <c r="I197" s="23">
        <f>H197-(H197/100*15.5)</f>
        <v>1.7153499999999999</v>
      </c>
      <c r="J197" s="23">
        <f>H197-(H197/100*20)</f>
        <v>1.6239999999999999</v>
      </c>
      <c r="K197" s="24">
        <v>25</v>
      </c>
      <c r="M197" s="133"/>
      <c r="N197" s="133"/>
    </row>
    <row r="198" spans="1:14" s="144" customFormat="1" ht="15" customHeight="1" x14ac:dyDescent="0.2">
      <c r="A198" s="10" t="s">
        <v>286</v>
      </c>
      <c r="B198" s="11">
        <v>0.85</v>
      </c>
      <c r="C198" s="11">
        <f>B198-(B198/100*4.5)</f>
        <v>0.81174999999999997</v>
      </c>
      <c r="D198" s="11">
        <f>C198-(C198/100*2)</f>
        <v>0.79551499999999997</v>
      </c>
      <c r="E198" s="34">
        <v>18</v>
      </c>
      <c r="F198" s="28"/>
      <c r="G198" s="13" t="s">
        <v>106</v>
      </c>
      <c r="H198" s="17">
        <v>1.75</v>
      </c>
      <c r="I198" s="32">
        <f>H198-(H198/100*15)</f>
        <v>1.4875</v>
      </c>
      <c r="J198" s="23">
        <f>H198-(H198/100*20)</f>
        <v>1.4</v>
      </c>
      <c r="K198" s="24">
        <v>24</v>
      </c>
      <c r="M198" s="133"/>
      <c r="N198" s="133"/>
    </row>
    <row r="199" spans="1:14" s="144" customFormat="1" ht="15" customHeight="1" x14ac:dyDescent="0.2">
      <c r="A199" s="95" t="s">
        <v>522</v>
      </c>
      <c r="B199" s="21">
        <v>0.77</v>
      </c>
      <c r="C199" s="11">
        <f>B199-(B199/100*3.84)</f>
        <v>0.74043199999999998</v>
      </c>
      <c r="D199" s="11">
        <f>C199-(C199/100*4)</f>
        <v>0.71081472000000001</v>
      </c>
      <c r="E199" s="27">
        <v>18</v>
      </c>
      <c r="F199" s="28"/>
      <c r="G199" s="13" t="s">
        <v>76</v>
      </c>
      <c r="H199" s="17">
        <v>4.05</v>
      </c>
      <c r="I199" s="32">
        <f t="shared" si="50"/>
        <v>3.4424999999999999</v>
      </c>
      <c r="J199" s="23">
        <f>H199-(H199/100*20)</f>
        <v>3.2399999999999998</v>
      </c>
      <c r="K199" s="24">
        <v>24</v>
      </c>
      <c r="M199" s="133"/>
      <c r="N199" s="133"/>
    </row>
    <row r="200" spans="1:14" s="144" customFormat="1" ht="15" customHeight="1" x14ac:dyDescent="0.2">
      <c r="A200" s="25" t="s">
        <v>521</v>
      </c>
      <c r="B200" s="17">
        <v>1.3</v>
      </c>
      <c r="C200" s="11">
        <f>B200-(B200/100*3.84)</f>
        <v>1.2500800000000001</v>
      </c>
      <c r="D200" s="11">
        <f>C200-(C200/100*4)</f>
        <v>1.2000768000000002</v>
      </c>
      <c r="E200" s="93">
        <v>18</v>
      </c>
      <c r="F200" s="28"/>
      <c r="G200" s="90" t="s">
        <v>160</v>
      </c>
      <c r="H200" s="17">
        <v>2.21</v>
      </c>
      <c r="I200" s="23">
        <f>H200-(H200/100*15.3)</f>
        <v>1.8718699999999999</v>
      </c>
      <c r="J200" s="23">
        <f>H200-(H200/100*20.3)</f>
        <v>1.7613699999999999</v>
      </c>
      <c r="K200" s="24">
        <v>25</v>
      </c>
      <c r="M200" s="133"/>
      <c r="N200" s="133"/>
    </row>
    <row r="201" spans="1:14" s="144" customFormat="1" ht="15" customHeight="1" x14ac:dyDescent="0.2">
      <c r="A201" s="25" t="s">
        <v>119</v>
      </c>
      <c r="B201" s="62">
        <v>1.7</v>
      </c>
      <c r="C201" s="11">
        <f>B201-(B201/100*3.9)</f>
        <v>1.6336999999999999</v>
      </c>
      <c r="D201" s="11">
        <f>C201-(C201/100*3.84)</f>
        <v>1.5709659199999999</v>
      </c>
      <c r="E201" s="34"/>
      <c r="F201" s="28"/>
      <c r="G201" s="13" t="s">
        <v>327</v>
      </c>
      <c r="H201" s="17">
        <v>1.44</v>
      </c>
      <c r="I201" s="23">
        <f>H201-(H201/100*3.5)</f>
        <v>1.3895999999999999</v>
      </c>
      <c r="J201" s="23">
        <f>I201/125*119</f>
        <v>1.3228991999999999</v>
      </c>
      <c r="K201" s="24"/>
      <c r="M201" s="133"/>
      <c r="N201" s="133"/>
    </row>
    <row r="202" spans="1:14" s="144" customFormat="1" ht="15" customHeight="1" x14ac:dyDescent="0.2">
      <c r="A202" s="13" t="s">
        <v>524</v>
      </c>
      <c r="B202" s="17">
        <v>1.37</v>
      </c>
      <c r="C202" s="11">
        <f>B202-(B202/100*4.5)</f>
        <v>1.3083500000000001</v>
      </c>
      <c r="D202" s="11">
        <f>C202-(C202/100*3.84)</f>
        <v>1.2581093600000002</v>
      </c>
      <c r="E202" s="27">
        <v>12</v>
      </c>
      <c r="F202" s="28"/>
      <c r="G202" s="13" t="s">
        <v>328</v>
      </c>
      <c r="H202" s="17">
        <v>1.07</v>
      </c>
      <c r="I202" s="23">
        <f>H202-(H202/100*15)</f>
        <v>0.90949999999999998</v>
      </c>
      <c r="J202" s="23">
        <f>H202-(H202/100*20)</f>
        <v>0.85600000000000009</v>
      </c>
      <c r="K202" s="24">
        <v>30</v>
      </c>
      <c r="M202" s="133"/>
      <c r="N202" s="133"/>
    </row>
    <row r="203" spans="1:14" s="144" customFormat="1" ht="15" customHeight="1" x14ac:dyDescent="0.2">
      <c r="A203" s="13" t="s">
        <v>523</v>
      </c>
      <c r="B203" s="17">
        <v>2.48</v>
      </c>
      <c r="C203" s="11">
        <f>B203-(B203/100*3.5)</f>
        <v>2.3931999999999998</v>
      </c>
      <c r="D203" s="11">
        <f>C203-(C203/100*4.5)</f>
        <v>2.2855059999999998</v>
      </c>
      <c r="E203" s="27"/>
      <c r="F203" s="28"/>
      <c r="G203" s="13" t="s">
        <v>493</v>
      </c>
      <c r="H203" s="17">
        <v>4.33</v>
      </c>
      <c r="I203" s="23">
        <f>H203-(H203/100*3.84)</f>
        <v>4.1637279999999999</v>
      </c>
      <c r="J203" s="23">
        <f>I203/125*120</f>
        <v>3.9971788800000003</v>
      </c>
      <c r="K203" s="24">
        <v>15</v>
      </c>
      <c r="M203" s="133"/>
      <c r="N203" s="133"/>
    </row>
    <row r="204" spans="1:14" s="144" customFormat="1" ht="15" customHeight="1" x14ac:dyDescent="0.2">
      <c r="A204" s="13" t="s">
        <v>54</v>
      </c>
      <c r="B204" s="17">
        <v>2.85</v>
      </c>
      <c r="C204" s="11">
        <f>B204-(B204/100*3.84)</f>
        <v>2.7405599999999999</v>
      </c>
      <c r="D204" s="11">
        <f>C204-(C204/100*4)</f>
        <v>2.6309375999999998</v>
      </c>
      <c r="E204" s="27">
        <v>14</v>
      </c>
      <c r="F204" s="28"/>
      <c r="G204" s="25" t="s">
        <v>494</v>
      </c>
      <c r="H204" s="17">
        <v>2.73</v>
      </c>
      <c r="I204" s="23">
        <f>H204-(H204/100*14.9)</f>
        <v>2.3232300000000001</v>
      </c>
      <c r="J204" s="23">
        <f>H204-(H204/100*20)</f>
        <v>2.1840000000000002</v>
      </c>
      <c r="K204" s="24">
        <v>15</v>
      </c>
      <c r="M204" s="133"/>
      <c r="N204" s="133"/>
    </row>
    <row r="205" spans="1:14" s="144" customFormat="1" ht="15" customHeight="1" x14ac:dyDescent="0.2">
      <c r="A205" s="13" t="s">
        <v>55</v>
      </c>
      <c r="B205" s="17">
        <v>1.73</v>
      </c>
      <c r="C205" s="11">
        <f>B205-(B205/100*4)</f>
        <v>1.6608000000000001</v>
      </c>
      <c r="D205" s="11">
        <f>C205-(C205/100*3.84)</f>
        <v>1.59702528</v>
      </c>
      <c r="E205" s="27">
        <v>24</v>
      </c>
      <c r="F205" s="28"/>
      <c r="G205" s="13" t="s">
        <v>80</v>
      </c>
      <c r="H205" s="17">
        <v>1.0900000000000001</v>
      </c>
      <c r="I205" s="23">
        <f>H205-(H205/100*14.5)</f>
        <v>0.93195000000000006</v>
      </c>
      <c r="J205" s="23">
        <f>H205-(H205/100*20)</f>
        <v>0.87200000000000011</v>
      </c>
      <c r="K205" s="24">
        <v>30</v>
      </c>
      <c r="M205" s="133"/>
      <c r="N205" s="133"/>
    </row>
    <row r="206" spans="1:14" s="144" customFormat="1" ht="15" customHeight="1" x14ac:dyDescent="0.2">
      <c r="A206" s="25" t="s">
        <v>114</v>
      </c>
      <c r="B206" s="17">
        <v>1.05</v>
      </c>
      <c r="C206" s="11">
        <f>B206-(B206/100*3.84)</f>
        <v>1.0096800000000001</v>
      </c>
      <c r="D206" s="11">
        <f>C206-(C206/100*3.5)</f>
        <v>0.97434120000000013</v>
      </c>
      <c r="E206" s="27">
        <v>15</v>
      </c>
      <c r="F206" s="56"/>
      <c r="G206" s="13" t="s">
        <v>461</v>
      </c>
      <c r="H206" s="17">
        <v>1.25</v>
      </c>
      <c r="I206" s="23">
        <f>H206-(H206/100*15)</f>
        <v>1.0625</v>
      </c>
      <c r="J206" s="23">
        <f>H206-(H206/100*20)</f>
        <v>1</v>
      </c>
      <c r="K206" s="24">
        <v>25</v>
      </c>
      <c r="M206" s="133"/>
      <c r="N206" s="133"/>
    </row>
    <row r="207" spans="1:14" s="144" customFormat="1" ht="15" customHeight="1" x14ac:dyDescent="0.2">
      <c r="A207" s="25" t="s">
        <v>58</v>
      </c>
      <c r="B207" s="17">
        <v>1.44</v>
      </c>
      <c r="C207" s="11">
        <f>B207-(B207/100*3.5)</f>
        <v>1.3895999999999999</v>
      </c>
      <c r="D207" s="11">
        <f>C207-(C207/100*4.5)</f>
        <v>1.3270679999999999</v>
      </c>
      <c r="E207" s="27">
        <v>12</v>
      </c>
      <c r="F207" s="41"/>
      <c r="G207" s="13" t="s">
        <v>163</v>
      </c>
      <c r="H207" s="17">
        <v>2.04</v>
      </c>
      <c r="I207" s="23">
        <f>H207-(H207/100*15)</f>
        <v>1.734</v>
      </c>
      <c r="J207" s="23">
        <f>H207-(H207/100*20)</f>
        <v>1.6320000000000001</v>
      </c>
      <c r="K207" s="24">
        <v>25</v>
      </c>
      <c r="M207" s="133"/>
      <c r="N207" s="133"/>
    </row>
    <row r="208" spans="1:14" s="144" customFormat="1" ht="15" customHeight="1" x14ac:dyDescent="0.2">
      <c r="A208" s="13" t="s">
        <v>436</v>
      </c>
      <c r="B208" s="17">
        <v>0.25</v>
      </c>
      <c r="C208" s="11">
        <f>B208-(B208/100*3.84)</f>
        <v>0.2404</v>
      </c>
      <c r="D208" s="11">
        <f>C208-(C208/100*3.84)</f>
        <v>0.23116864000000001</v>
      </c>
      <c r="E208" s="93">
        <v>60</v>
      </c>
      <c r="F208" s="101"/>
      <c r="G208" s="13" t="s">
        <v>82</v>
      </c>
      <c r="H208" s="17">
        <v>2.38</v>
      </c>
      <c r="I208" s="23">
        <f>H208-(H208/100*15)</f>
        <v>2.0229999999999997</v>
      </c>
      <c r="J208" s="23">
        <f>H208-(H208/100*20)</f>
        <v>1.9039999999999999</v>
      </c>
      <c r="K208" s="24">
        <v>25</v>
      </c>
      <c r="M208" s="133"/>
      <c r="N208" s="133"/>
    </row>
    <row r="209" spans="1:14" s="144" customFormat="1" ht="15" customHeight="1" x14ac:dyDescent="0.2">
      <c r="A209" s="13" t="s">
        <v>60</v>
      </c>
      <c r="B209" s="17">
        <v>0.28999999999999998</v>
      </c>
      <c r="C209" s="11">
        <f>B209-(B209/100*3.84)</f>
        <v>0.278864</v>
      </c>
      <c r="D209" s="11">
        <f>C209-(C209/100*5)</f>
        <v>0.26492080000000001</v>
      </c>
      <c r="E209" s="27">
        <v>24</v>
      </c>
      <c r="F209" s="101"/>
      <c r="G209" s="13" t="s">
        <v>83</v>
      </c>
      <c r="H209" s="17">
        <v>7.5</v>
      </c>
      <c r="I209" s="23">
        <f>H209-(H209/100*3.84)</f>
        <v>7.2119999999999997</v>
      </c>
      <c r="J209" s="23">
        <f>I209-(I209/100*4.3)</f>
        <v>6.9018839999999999</v>
      </c>
      <c r="K209" s="24"/>
      <c r="M209" s="133"/>
      <c r="N209" s="133"/>
    </row>
    <row r="210" spans="1:14" s="144" customFormat="1" ht="15" customHeight="1" x14ac:dyDescent="0.2">
      <c r="A210" s="13" t="s">
        <v>435</v>
      </c>
      <c r="B210" s="17">
        <v>0.34</v>
      </c>
      <c r="C210" s="11">
        <f>B210-(B210/100*3.84)</f>
        <v>0.32694400000000001</v>
      </c>
      <c r="D210" s="11">
        <f>C210-(C210/100*3.84)</f>
        <v>0.31438935039999999</v>
      </c>
      <c r="E210" s="20">
        <v>48</v>
      </c>
      <c r="F210" s="56"/>
      <c r="G210" s="25" t="s">
        <v>329</v>
      </c>
      <c r="H210" s="17">
        <v>4.07</v>
      </c>
      <c r="I210" s="6">
        <f t="shared" ref="I210:I219" si="52">H210-(H210/100*15)</f>
        <v>3.4595000000000002</v>
      </c>
      <c r="J210" s="6">
        <f>H210-(H210/100*20)</f>
        <v>3.2560000000000002</v>
      </c>
      <c r="K210" s="24">
        <v>24</v>
      </c>
      <c r="M210" s="133"/>
      <c r="N210" s="133"/>
    </row>
    <row r="211" spans="1:14" s="144" customFormat="1" ht="15" customHeight="1" x14ac:dyDescent="0.2">
      <c r="A211" s="13" t="s">
        <v>61</v>
      </c>
      <c r="B211" s="17">
        <v>0.33</v>
      </c>
      <c r="C211" s="11">
        <f>B211-(B211/100*5)</f>
        <v>0.3135</v>
      </c>
      <c r="D211" s="11">
        <f>C211-(C211/100*5)</f>
        <v>0.29782500000000001</v>
      </c>
      <c r="E211" s="20">
        <v>48</v>
      </c>
      <c r="F211" s="56"/>
      <c r="G211" s="25" t="s">
        <v>194</v>
      </c>
      <c r="H211" s="17">
        <v>6.94</v>
      </c>
      <c r="I211" s="6">
        <f t="shared" si="52"/>
        <v>5.899</v>
      </c>
      <c r="J211" s="6">
        <f>H211-(H211/100*20)</f>
        <v>5.5520000000000005</v>
      </c>
      <c r="K211" s="24">
        <v>50</v>
      </c>
      <c r="M211" s="133"/>
      <c r="N211" s="133"/>
    </row>
    <row r="212" spans="1:14" s="144" customFormat="1" ht="15" customHeight="1" x14ac:dyDescent="0.2">
      <c r="A212" s="13" t="s">
        <v>62</v>
      </c>
      <c r="B212" s="17">
        <v>0.31</v>
      </c>
      <c r="C212" s="11">
        <f>B212-(B212/100*3.84)</f>
        <v>0.29809599999999997</v>
      </c>
      <c r="D212" s="11">
        <f>C212-(C212/100*3.84)</f>
        <v>0.28664911359999995</v>
      </c>
      <c r="E212" s="20">
        <v>24</v>
      </c>
      <c r="F212" s="101"/>
      <c r="G212" s="99" t="s">
        <v>195</v>
      </c>
      <c r="H212" s="17">
        <v>4.6100000000000003</v>
      </c>
      <c r="I212" s="6">
        <f t="shared" si="52"/>
        <v>3.9185000000000003</v>
      </c>
      <c r="J212" s="6">
        <f>H212-(H212/100*20)</f>
        <v>3.6880000000000002</v>
      </c>
      <c r="K212" s="24">
        <v>50</v>
      </c>
      <c r="M212" s="133"/>
      <c r="N212" s="133"/>
    </row>
    <row r="213" spans="1:14" s="144" customFormat="1" ht="18" customHeight="1" x14ac:dyDescent="0.2">
      <c r="A213" s="13" t="s">
        <v>63</v>
      </c>
      <c r="B213" s="17">
        <v>0.39</v>
      </c>
      <c r="C213" s="11">
        <f t="shared" ref="C213:C221" si="53">B213-(B213/100*3.84)</f>
        <v>0.37502400000000002</v>
      </c>
      <c r="D213" s="11">
        <f>C213-(C213/100*3)</f>
        <v>0.36377328000000003</v>
      </c>
      <c r="E213" s="27">
        <v>32</v>
      </c>
      <c r="F213" s="71"/>
      <c r="G213" s="25" t="s">
        <v>196</v>
      </c>
      <c r="H213" s="17">
        <v>5.27</v>
      </c>
      <c r="I213" s="6">
        <f t="shared" si="52"/>
        <v>4.4794999999999998</v>
      </c>
      <c r="J213" s="6">
        <f>H213-(H213/100*20.05)</f>
        <v>4.2133649999999996</v>
      </c>
      <c r="K213" s="24">
        <v>24</v>
      </c>
      <c r="M213" s="133"/>
      <c r="N213" s="133"/>
    </row>
    <row r="214" spans="1:14" s="144" customFormat="1" ht="15" customHeight="1" x14ac:dyDescent="0.2">
      <c r="A214" s="13" t="s">
        <v>65</v>
      </c>
      <c r="B214" s="17">
        <v>0.36</v>
      </c>
      <c r="C214" s="11">
        <f t="shared" si="53"/>
        <v>0.34617599999999998</v>
      </c>
      <c r="D214" s="11">
        <f>C214-(C214/100*3)</f>
        <v>0.33579071999999999</v>
      </c>
      <c r="E214" s="27">
        <v>32</v>
      </c>
      <c r="F214" s="71"/>
      <c r="G214" s="25" t="s">
        <v>197</v>
      </c>
      <c r="H214" s="17">
        <v>8.07</v>
      </c>
      <c r="I214" s="6">
        <f t="shared" si="52"/>
        <v>6.8595000000000006</v>
      </c>
      <c r="J214" s="6">
        <f>H214-(H214/100*20)</f>
        <v>6.4560000000000004</v>
      </c>
      <c r="K214" s="24">
        <v>50</v>
      </c>
      <c r="M214" s="133"/>
      <c r="N214" s="133"/>
    </row>
    <row r="215" spans="1:14" s="144" customFormat="1" ht="18.75" customHeight="1" x14ac:dyDescent="0.2">
      <c r="A215" s="13" t="s">
        <v>67</v>
      </c>
      <c r="B215" s="17">
        <v>0.36</v>
      </c>
      <c r="C215" s="11">
        <f t="shared" si="53"/>
        <v>0.34617599999999998</v>
      </c>
      <c r="D215" s="11">
        <f>C215-(C215/100*3)</f>
        <v>0.33579071999999999</v>
      </c>
      <c r="E215" s="20">
        <v>24</v>
      </c>
      <c r="F215" s="71"/>
      <c r="G215" s="13" t="s">
        <v>574</v>
      </c>
      <c r="H215" s="17">
        <v>50.81</v>
      </c>
      <c r="I215" s="6">
        <f t="shared" ref="I215:I218" si="54">H215-(H215/100*15)</f>
        <v>43.188500000000005</v>
      </c>
      <c r="J215" s="6">
        <f t="shared" ref="J215:J218" si="55">H215-(H215/100*20)</f>
        <v>40.648000000000003</v>
      </c>
      <c r="K215" s="24"/>
      <c r="M215" s="133"/>
      <c r="N215" s="133"/>
    </row>
    <row r="216" spans="1:14" s="144" customFormat="1" ht="15" customHeight="1" x14ac:dyDescent="0.2">
      <c r="A216" s="13" t="s">
        <v>68</v>
      </c>
      <c r="B216" s="17">
        <v>0.34</v>
      </c>
      <c r="C216" s="11">
        <f t="shared" si="53"/>
        <v>0.32694400000000001</v>
      </c>
      <c r="D216" s="11">
        <f>C216-(C216/100*5)</f>
        <v>0.31059680000000001</v>
      </c>
      <c r="E216" s="20"/>
      <c r="F216" s="101"/>
      <c r="G216" s="13" t="s">
        <v>575</v>
      </c>
      <c r="H216" s="17">
        <v>54.85</v>
      </c>
      <c r="I216" s="6">
        <f t="shared" si="54"/>
        <v>46.622500000000002</v>
      </c>
      <c r="J216" s="6">
        <f t="shared" si="55"/>
        <v>43.88</v>
      </c>
      <c r="K216" s="24"/>
      <c r="M216" s="133"/>
      <c r="N216" s="133"/>
    </row>
    <row r="217" spans="1:14" s="144" customFormat="1" ht="15" customHeight="1" x14ac:dyDescent="0.2">
      <c r="A217" s="13" t="s">
        <v>285</v>
      </c>
      <c r="B217" s="17">
        <v>1.81</v>
      </c>
      <c r="C217" s="11">
        <f t="shared" si="53"/>
        <v>1.740496</v>
      </c>
      <c r="D217" s="11">
        <f>C217-(C217/100*4)</f>
        <v>1.6708761599999999</v>
      </c>
      <c r="E217" s="20">
        <v>15</v>
      </c>
      <c r="F217" s="101"/>
      <c r="G217" s="13" t="s">
        <v>576</v>
      </c>
      <c r="H217" s="17">
        <v>65.11</v>
      </c>
      <c r="I217" s="6">
        <f t="shared" si="54"/>
        <v>55.343499999999999</v>
      </c>
      <c r="J217" s="6">
        <f t="shared" si="55"/>
        <v>52.088000000000001</v>
      </c>
      <c r="K217" s="24"/>
      <c r="M217" s="133"/>
      <c r="N217" s="133"/>
    </row>
    <row r="218" spans="1:14" s="144" customFormat="1" ht="16.5" customHeight="1" x14ac:dyDescent="0.2">
      <c r="A218" s="13" t="s">
        <v>70</v>
      </c>
      <c r="B218" s="17">
        <v>2.65</v>
      </c>
      <c r="C218" s="11">
        <f t="shared" si="53"/>
        <v>2.5482399999999998</v>
      </c>
      <c r="D218" s="11">
        <f>C218-(C218/100*3.84)</f>
        <v>2.450387584</v>
      </c>
      <c r="E218" s="20">
        <v>15</v>
      </c>
      <c r="F218" s="101"/>
      <c r="G218" s="13" t="s">
        <v>577</v>
      </c>
      <c r="H218" s="17">
        <v>66.180000000000007</v>
      </c>
      <c r="I218" s="6">
        <f t="shared" si="54"/>
        <v>56.253000000000007</v>
      </c>
      <c r="J218" s="6">
        <f t="shared" si="55"/>
        <v>52.944000000000003</v>
      </c>
      <c r="K218" s="24"/>
      <c r="M218" s="133"/>
      <c r="N218" s="133"/>
    </row>
    <row r="219" spans="1:14" s="133" customFormat="1" ht="16.5" customHeight="1" x14ac:dyDescent="0.2">
      <c r="A219" s="25" t="s">
        <v>519</v>
      </c>
      <c r="B219" s="17">
        <v>0.82</v>
      </c>
      <c r="C219" s="11">
        <f>B219-(B219/100*3.84)</f>
        <v>0.78851199999999999</v>
      </c>
      <c r="D219" s="11">
        <f>C219-(C219/100*4)</f>
        <v>0.75697152000000001</v>
      </c>
      <c r="E219" s="20">
        <v>24</v>
      </c>
      <c r="F219" s="101"/>
      <c r="G219" s="13" t="s">
        <v>557</v>
      </c>
      <c r="H219" s="17">
        <v>3.75</v>
      </c>
      <c r="I219" s="100">
        <f t="shared" si="52"/>
        <v>3.1875</v>
      </c>
      <c r="J219" s="100">
        <f>I219-(I219/100*6)</f>
        <v>2.9962499999999999</v>
      </c>
      <c r="K219" s="64">
        <v>20</v>
      </c>
    </row>
    <row r="220" spans="1:14" s="133" customFormat="1" ht="16.5" customHeight="1" x14ac:dyDescent="0.2">
      <c r="A220" s="13" t="s">
        <v>429</v>
      </c>
      <c r="B220" s="17">
        <v>0.95</v>
      </c>
      <c r="C220" s="11">
        <f t="shared" si="53"/>
        <v>0.91352</v>
      </c>
      <c r="D220" s="11">
        <f>C220-(C220/100*3.84)</f>
        <v>0.878440832</v>
      </c>
      <c r="E220" s="27">
        <v>20</v>
      </c>
      <c r="F220" s="101"/>
      <c r="G220" s="13" t="s">
        <v>566</v>
      </c>
      <c r="H220" s="17">
        <v>14.31</v>
      </c>
      <c r="I220" s="23">
        <f t="shared" ref="I220:I233" si="56">H220-(H220/100*3.84)</f>
        <v>13.760496</v>
      </c>
      <c r="J220" s="23">
        <f>I220/125*120</f>
        <v>13.21007616</v>
      </c>
      <c r="K220" s="29">
        <v>10</v>
      </c>
    </row>
    <row r="221" spans="1:14" s="133" customFormat="1" ht="15" customHeight="1" x14ac:dyDescent="0.2">
      <c r="A221" s="25" t="s">
        <v>205</v>
      </c>
      <c r="B221" s="17">
        <v>0.91</v>
      </c>
      <c r="C221" s="11">
        <f t="shared" si="53"/>
        <v>0.87505600000000006</v>
      </c>
      <c r="D221" s="11">
        <f>C221-(C221/100*3.5)</f>
        <v>0.84442904000000008</v>
      </c>
      <c r="E221" s="20">
        <v>20</v>
      </c>
      <c r="F221" s="101"/>
      <c r="G221" s="55" t="s">
        <v>558</v>
      </c>
      <c r="H221" s="17">
        <v>7.15</v>
      </c>
      <c r="I221" s="23">
        <f>H221-(H221/100*15)</f>
        <v>6.0775000000000006</v>
      </c>
      <c r="J221" s="23">
        <f>I221/125*117.6</f>
        <v>5.7177120000000006</v>
      </c>
      <c r="K221" s="29">
        <v>5</v>
      </c>
    </row>
    <row r="222" spans="1:14" s="133" customFormat="1" ht="17.25" customHeight="1" x14ac:dyDescent="0.2">
      <c r="A222" s="25" t="s">
        <v>377</v>
      </c>
      <c r="B222" s="17">
        <v>1.22</v>
      </c>
      <c r="C222" s="11">
        <f>B222-(B222/100*3.5)</f>
        <v>1.1773</v>
      </c>
      <c r="D222" s="11">
        <f>C222-(C222/100*4)</f>
        <v>1.1302080000000001</v>
      </c>
      <c r="E222" s="20">
        <v>20</v>
      </c>
      <c r="F222" s="28"/>
      <c r="G222" s="55" t="s">
        <v>559</v>
      </c>
      <c r="H222" s="17">
        <v>1.99</v>
      </c>
      <c r="I222" s="23">
        <f>H222-(H222/100*15)</f>
        <v>1.6915</v>
      </c>
      <c r="J222" s="23">
        <f>I222/125*117.6</f>
        <v>1.5913632</v>
      </c>
      <c r="K222" s="29">
        <v>5</v>
      </c>
    </row>
    <row r="223" spans="1:14" s="133" customFormat="1" ht="17.25" customHeight="1" x14ac:dyDescent="0.2">
      <c r="A223" s="25" t="s">
        <v>520</v>
      </c>
      <c r="B223" s="17">
        <v>1.44</v>
      </c>
      <c r="C223" s="11">
        <f>B223-(B223/100*3.5)</f>
        <v>1.3895999999999999</v>
      </c>
      <c r="D223" s="11">
        <f>C223-(C223/100*4)</f>
        <v>1.3340159999999999</v>
      </c>
      <c r="E223" s="20">
        <v>12</v>
      </c>
      <c r="F223" s="28"/>
      <c r="G223" s="55" t="s">
        <v>565</v>
      </c>
      <c r="H223" s="17">
        <v>19.260000000000002</v>
      </c>
      <c r="I223" s="23">
        <f>H223-(H223/100*15)</f>
        <v>16.371000000000002</v>
      </c>
      <c r="J223" s="23">
        <f>I223/125*117.65</f>
        <v>15.408385200000005</v>
      </c>
      <c r="K223" s="29">
        <v>10</v>
      </c>
    </row>
    <row r="224" spans="1:14" s="133" customFormat="1" ht="15" customHeight="1" x14ac:dyDescent="0.2">
      <c r="A224" s="25" t="s">
        <v>77</v>
      </c>
      <c r="B224" s="17">
        <v>0.88</v>
      </c>
      <c r="C224" s="11">
        <f>B224-(B224/100*3.84)</f>
        <v>0.84620799999999996</v>
      </c>
      <c r="D224" s="11">
        <f>C224-(C224/100*3.5)</f>
        <v>0.81659071999999999</v>
      </c>
      <c r="E224" s="20">
        <v>12</v>
      </c>
      <c r="F224" s="28"/>
      <c r="G224" s="55" t="s">
        <v>564</v>
      </c>
      <c r="H224" s="17">
        <v>4.3499999999999996</v>
      </c>
      <c r="I224" s="23">
        <f>H224-(H224/100*15)</f>
        <v>3.6974999999999998</v>
      </c>
      <c r="J224" s="23">
        <f>I224/125*117.6</f>
        <v>3.4786079999999995</v>
      </c>
      <c r="K224" s="29">
        <v>40</v>
      </c>
    </row>
    <row r="225" spans="1:11" s="133" customFormat="1" ht="15" customHeight="1" x14ac:dyDescent="0.2">
      <c r="A225" s="13" t="s">
        <v>442</v>
      </c>
      <c r="B225" s="17">
        <v>1.69</v>
      </c>
      <c r="C225" s="11">
        <f>B225-(B225/100*3.84)</f>
        <v>1.6251039999999999</v>
      </c>
      <c r="D225" s="11">
        <f>C225-(C225/100*4)</f>
        <v>1.5600998399999999</v>
      </c>
      <c r="E225" s="20">
        <v>12</v>
      </c>
      <c r="F225" s="28"/>
      <c r="G225" s="13" t="s">
        <v>549</v>
      </c>
      <c r="H225" s="17">
        <v>13.73</v>
      </c>
      <c r="I225" s="23">
        <v>11.67</v>
      </c>
      <c r="J225" s="23">
        <v>10.98</v>
      </c>
      <c r="K225" s="29">
        <v>10</v>
      </c>
    </row>
    <row r="226" spans="1:11" s="133" customFormat="1" ht="17.25" customHeight="1" x14ac:dyDescent="0.2">
      <c r="A226" s="13" t="s">
        <v>426</v>
      </c>
      <c r="B226" s="17">
        <v>1.18</v>
      </c>
      <c r="C226" s="11">
        <f>B226-(B226/100*3.5)</f>
        <v>1.1387</v>
      </c>
      <c r="D226" s="11">
        <f>C226-(C226/100*3.84)</f>
        <v>1.0949739200000002</v>
      </c>
      <c r="E226" s="20">
        <v>14</v>
      </c>
      <c r="F226" s="107"/>
      <c r="G226" s="13" t="s">
        <v>87</v>
      </c>
      <c r="H226" s="17">
        <v>9.36</v>
      </c>
      <c r="I226" s="23">
        <v>9</v>
      </c>
      <c r="J226" s="23">
        <v>8.64</v>
      </c>
      <c r="K226" s="29"/>
    </row>
    <row r="227" spans="1:11" s="133" customFormat="1" ht="16.5" customHeight="1" x14ac:dyDescent="0.2">
      <c r="A227" s="13" t="s">
        <v>120</v>
      </c>
      <c r="B227" s="17">
        <v>1.76</v>
      </c>
      <c r="C227" s="11">
        <f>B227-(B227/100*3.84)</f>
        <v>1.6924159999999999</v>
      </c>
      <c r="D227" s="11">
        <f>C227-(C227/100*4)</f>
        <v>1.6247193599999998</v>
      </c>
      <c r="E227" s="20"/>
      <c r="F227" s="77"/>
      <c r="G227" s="13" t="s">
        <v>89</v>
      </c>
      <c r="H227" s="17">
        <v>14.56</v>
      </c>
      <c r="I227" s="32">
        <f t="shared" si="56"/>
        <v>14.000896000000001</v>
      </c>
      <c r="J227" s="32">
        <f>H227-(H227/100*7.7)</f>
        <v>13.438880000000001</v>
      </c>
      <c r="K227" s="24"/>
    </row>
    <row r="228" spans="1:11" s="145" customFormat="1" ht="17.25" customHeight="1" x14ac:dyDescent="0.2">
      <c r="A228" s="25" t="s">
        <v>73</v>
      </c>
      <c r="B228" s="17">
        <v>1.82</v>
      </c>
      <c r="C228" s="11">
        <f>B228-(B228/100*3.84)</f>
        <v>1.7501120000000001</v>
      </c>
      <c r="D228" s="11">
        <f>C228-(C228/100*3.84)</f>
        <v>1.6829076992000001</v>
      </c>
      <c r="E228" s="20">
        <v>25</v>
      </c>
      <c r="F228" s="28"/>
      <c r="G228" s="13" t="s">
        <v>550</v>
      </c>
      <c r="H228" s="17">
        <v>16.75</v>
      </c>
      <c r="I228" s="32">
        <f>H228-(H228/100*15)</f>
        <v>14.237500000000001</v>
      </c>
      <c r="J228" s="32">
        <f>H228-(H228/100*20)</f>
        <v>13.4</v>
      </c>
      <c r="K228" s="24">
        <v>10</v>
      </c>
    </row>
    <row r="229" spans="1:11" s="145" customFormat="1" ht="15" customHeight="1" x14ac:dyDescent="0.2">
      <c r="A229" s="13" t="s">
        <v>287</v>
      </c>
      <c r="B229" s="17">
        <v>0.46</v>
      </c>
      <c r="C229" s="11">
        <f>B229-(B229/100*3.84)</f>
        <v>0.44233600000000001</v>
      </c>
      <c r="D229" s="11">
        <f>C229-(C229/100*4.5)</f>
        <v>0.42243088000000001</v>
      </c>
      <c r="E229" s="20">
        <v>25</v>
      </c>
      <c r="F229" s="28"/>
      <c r="G229" s="13" t="s">
        <v>560</v>
      </c>
      <c r="H229" s="17">
        <v>12.23</v>
      </c>
      <c r="I229" s="32">
        <v>10.39</v>
      </c>
      <c r="J229" s="32">
        <f>H229-(H229/100*20)</f>
        <v>9.7840000000000007</v>
      </c>
      <c r="K229" s="24">
        <v>5</v>
      </c>
    </row>
    <row r="230" spans="1:11" s="133" customFormat="1" ht="15.75" customHeight="1" x14ac:dyDescent="0.2">
      <c r="A230" s="13" t="s">
        <v>472</v>
      </c>
      <c r="B230" s="17">
        <v>0.39</v>
      </c>
      <c r="C230" s="11">
        <f>B230-(B230/100*2.5)</f>
        <v>0.38025000000000003</v>
      </c>
      <c r="D230" s="11">
        <f>C230-(C230/100*5)</f>
        <v>0.36123750000000004</v>
      </c>
      <c r="E230" s="27">
        <v>25</v>
      </c>
      <c r="F230" s="28"/>
      <c r="G230" s="55" t="s">
        <v>561</v>
      </c>
      <c r="H230" s="17">
        <v>1.99</v>
      </c>
      <c r="I230" s="23">
        <f>H230-(H230/100*15)</f>
        <v>1.6915</v>
      </c>
      <c r="J230" s="23">
        <f>I230/125*117.6</f>
        <v>1.5913632</v>
      </c>
      <c r="K230" s="29">
        <v>10</v>
      </c>
    </row>
    <row r="231" spans="1:11" s="133" customFormat="1" ht="15" customHeight="1" x14ac:dyDescent="0.2">
      <c r="A231" s="13" t="s">
        <v>78</v>
      </c>
      <c r="B231" s="17">
        <v>1.05</v>
      </c>
      <c r="C231" s="11">
        <f t="shared" ref="C231:D233" si="57">B231-(B231/100*3.84)</f>
        <v>1.0096800000000001</v>
      </c>
      <c r="D231" s="11">
        <f>C231-(C231/100*3.84)</f>
        <v>0.97090828800000017</v>
      </c>
      <c r="E231" s="27">
        <v>12</v>
      </c>
      <c r="F231" s="28"/>
      <c r="G231" s="13" t="s">
        <v>107</v>
      </c>
      <c r="H231" s="17">
        <v>32.24</v>
      </c>
      <c r="I231" s="32">
        <f>H231-(H231/100*3.84)</f>
        <v>31.001984</v>
      </c>
      <c r="J231" s="32">
        <f>I231-(I231/100*4)</f>
        <v>29.761904640000001</v>
      </c>
      <c r="K231" s="24"/>
    </row>
    <row r="232" spans="1:11" s="133" customFormat="1" ht="17.25" customHeight="1" x14ac:dyDescent="0.2">
      <c r="A232" s="13" t="s">
        <v>79</v>
      </c>
      <c r="B232" s="17">
        <v>1.27</v>
      </c>
      <c r="C232" s="17">
        <f>B232-(B232/100*3)</f>
        <v>1.2319</v>
      </c>
      <c r="D232" s="17">
        <f t="shared" si="57"/>
        <v>1.18459504</v>
      </c>
      <c r="E232" s="30">
        <v>12</v>
      </c>
      <c r="F232" s="28"/>
      <c r="G232" s="13" t="s">
        <v>394</v>
      </c>
      <c r="H232" s="17">
        <v>54.73</v>
      </c>
      <c r="I232" s="32">
        <f>H232-(H232/100*3.84)</f>
        <v>52.628367999999995</v>
      </c>
      <c r="J232" s="32">
        <f>I232-(I232/100*4)</f>
        <v>50.523233279999992</v>
      </c>
      <c r="K232" s="24"/>
    </row>
    <row r="233" spans="1:11" s="133" customFormat="1" ht="15.75" customHeight="1" x14ac:dyDescent="0.2">
      <c r="A233" s="13" t="s">
        <v>444</v>
      </c>
      <c r="B233" s="17">
        <v>1.61</v>
      </c>
      <c r="C233" s="17">
        <f>B233-(B233/100*3.84)</f>
        <v>1.548176</v>
      </c>
      <c r="D233" s="17">
        <f t="shared" si="57"/>
        <v>1.4887260416000001</v>
      </c>
      <c r="E233" s="30">
        <v>20</v>
      </c>
      <c r="F233" s="28"/>
      <c r="G233" s="13" t="s">
        <v>91</v>
      </c>
      <c r="H233" s="17">
        <v>4.1900000000000004</v>
      </c>
      <c r="I233" s="32">
        <f t="shared" si="56"/>
        <v>4.0291040000000002</v>
      </c>
      <c r="J233" s="32">
        <f>I233-(I233/100*4.2)</f>
        <v>3.8598816320000005</v>
      </c>
      <c r="K233" s="24">
        <v>5</v>
      </c>
    </row>
    <row r="234" spans="1:11" s="133" customFormat="1" ht="16.5" customHeight="1" x14ac:dyDescent="0.2">
      <c r="A234" s="13" t="s">
        <v>350</v>
      </c>
      <c r="B234" s="17">
        <v>5.49</v>
      </c>
      <c r="C234" s="17">
        <f>B234-(B234/100*15)</f>
        <v>4.6665000000000001</v>
      </c>
      <c r="D234" s="17">
        <f>B234-(B234/100*20)</f>
        <v>4.3920000000000003</v>
      </c>
      <c r="E234" s="30">
        <v>20</v>
      </c>
      <c r="F234" s="28"/>
      <c r="G234" s="25" t="s">
        <v>390</v>
      </c>
      <c r="H234" s="17">
        <v>3.7</v>
      </c>
      <c r="I234" s="32">
        <f>H234-(H234/100*15)</f>
        <v>3.145</v>
      </c>
      <c r="J234" s="32">
        <f>H234-(H234/100*20)</f>
        <v>2.96</v>
      </c>
      <c r="K234" s="24">
        <v>100</v>
      </c>
    </row>
    <row r="235" spans="1:11" s="128" customFormat="1" ht="17.25" customHeight="1" x14ac:dyDescent="0.2">
      <c r="A235" s="13" t="s">
        <v>351</v>
      </c>
      <c r="B235" s="17">
        <v>8.32</v>
      </c>
      <c r="C235" s="17">
        <f>B235-(B235/100*3.84)</f>
        <v>8.0005120000000005</v>
      </c>
      <c r="D235" s="17">
        <f>C235-(C235/100*4)</f>
        <v>7.6804915200000003</v>
      </c>
      <c r="E235" s="30">
        <v>20</v>
      </c>
      <c r="F235" s="28"/>
      <c r="G235" s="25" t="s">
        <v>330</v>
      </c>
      <c r="H235" s="17">
        <v>9.65</v>
      </c>
      <c r="I235" s="32">
        <v>9.65</v>
      </c>
      <c r="J235" s="32">
        <v>9.65</v>
      </c>
      <c r="K235" s="24"/>
    </row>
    <row r="236" spans="1:11" s="125" customFormat="1" ht="24" customHeight="1" x14ac:dyDescent="0.2">
      <c r="A236" s="13" t="s">
        <v>352</v>
      </c>
      <c r="B236" s="17">
        <v>11.63</v>
      </c>
      <c r="C236" s="17">
        <f>B236-(B236/100*15)</f>
        <v>9.8855000000000004</v>
      </c>
      <c r="D236" s="17">
        <f>C236-(C236/100*6)</f>
        <v>9.29237</v>
      </c>
      <c r="E236" s="30">
        <v>20</v>
      </c>
      <c r="F236" s="33"/>
      <c r="G236" s="25" t="s">
        <v>93</v>
      </c>
      <c r="H236" s="17">
        <v>10.85</v>
      </c>
      <c r="I236" s="32">
        <v>10.85</v>
      </c>
      <c r="J236" s="32">
        <v>10.210000000000001</v>
      </c>
      <c r="K236" s="24">
        <v>20</v>
      </c>
    </row>
    <row r="237" spans="1:11" s="125" customFormat="1" ht="24.75" customHeight="1" x14ac:dyDescent="0.2">
      <c r="A237" s="165" t="s">
        <v>81</v>
      </c>
      <c r="B237" s="165"/>
      <c r="C237" s="165"/>
      <c r="D237" s="165"/>
      <c r="E237" s="165"/>
      <c r="F237" s="110"/>
      <c r="G237" s="25" t="s">
        <v>198</v>
      </c>
      <c r="H237" s="17">
        <v>8.85</v>
      </c>
      <c r="I237" s="23">
        <f>H237-(H237/100*15)</f>
        <v>7.5225</v>
      </c>
      <c r="J237" s="23">
        <f>H237-(H237/100*20)</f>
        <v>7.08</v>
      </c>
      <c r="K237" s="24">
        <v>14</v>
      </c>
    </row>
    <row r="238" spans="1:11" s="125" customFormat="1" ht="15" customHeight="1" x14ac:dyDescent="0.2">
      <c r="A238" s="5" t="s">
        <v>312</v>
      </c>
      <c r="B238" s="11">
        <v>32.89</v>
      </c>
      <c r="C238" s="11">
        <f>B238-(B238/100*3.84)</f>
        <v>31.627023999999999</v>
      </c>
      <c r="D238" s="11">
        <f>C238/125*120.05</f>
        <v>30.374593849599997</v>
      </c>
      <c r="E238" s="98">
        <v>5</v>
      </c>
      <c r="F238" s="111"/>
      <c r="G238" s="25" t="s">
        <v>199</v>
      </c>
      <c r="H238" s="17">
        <v>9.93</v>
      </c>
      <c r="I238" s="23">
        <f>H238-(H238/100*15)</f>
        <v>8.4405000000000001</v>
      </c>
      <c r="J238" s="23">
        <f>H238-(H238/100*20)</f>
        <v>7.944</v>
      </c>
      <c r="K238" s="24">
        <v>20</v>
      </c>
    </row>
    <row r="239" spans="1:11" s="125" customFormat="1" ht="15" customHeight="1" x14ac:dyDescent="0.2">
      <c r="A239" s="25" t="s">
        <v>115</v>
      </c>
      <c r="B239" s="17">
        <v>24.51</v>
      </c>
      <c r="C239" s="11">
        <f>B239-(B239/100*3.84)</f>
        <v>23.568816000000002</v>
      </c>
      <c r="D239" s="11">
        <f>C239- (C239/100*3.99)</f>
        <v>22.628420241600001</v>
      </c>
      <c r="E239" s="30">
        <v>15</v>
      </c>
      <c r="F239" s="112"/>
      <c r="G239" s="25" t="s">
        <v>117</v>
      </c>
      <c r="H239" s="17">
        <v>12.99</v>
      </c>
      <c r="I239" s="23">
        <f>H239-(H239/100*15)</f>
        <v>11.041499999999999</v>
      </c>
      <c r="J239" s="23">
        <f>H239-(H239/100*19.9)</f>
        <v>10.40499</v>
      </c>
      <c r="K239" s="24">
        <v>20</v>
      </c>
    </row>
    <row r="240" spans="1:11" s="125" customFormat="1" ht="15" customHeight="1" x14ac:dyDescent="0.2">
      <c r="A240" s="13" t="s">
        <v>378</v>
      </c>
      <c r="B240" s="17">
        <v>7.63</v>
      </c>
      <c r="C240" s="6">
        <f>B240-(B240/100*3.84)</f>
        <v>7.337008</v>
      </c>
      <c r="D240" s="11">
        <f>C240/125*120</f>
        <v>7.0435276799999995</v>
      </c>
      <c r="E240" s="30">
        <v>10</v>
      </c>
      <c r="F240" s="113"/>
      <c r="G240" s="25" t="s">
        <v>200</v>
      </c>
      <c r="H240" s="17">
        <v>11.04</v>
      </c>
      <c r="I240" s="23">
        <v>11.04</v>
      </c>
      <c r="J240" s="23">
        <v>11.04</v>
      </c>
      <c r="K240" s="24">
        <v>20</v>
      </c>
    </row>
    <row r="241" spans="1:11" s="125" customFormat="1" ht="15.75" customHeight="1" x14ac:dyDescent="0.2">
      <c r="A241" s="25" t="s">
        <v>116</v>
      </c>
      <c r="B241" s="17">
        <v>7.41</v>
      </c>
      <c r="C241" s="11">
        <f>B241-(B241/100*3.84)</f>
        <v>7.1254559999999998</v>
      </c>
      <c r="D241" s="11">
        <f>C241/125*120</f>
        <v>6.8404377599999995</v>
      </c>
      <c r="E241" s="30">
        <v>24</v>
      </c>
      <c r="F241" s="113"/>
      <c r="G241" s="13" t="s">
        <v>94</v>
      </c>
      <c r="H241" s="17">
        <v>13.11</v>
      </c>
      <c r="I241" s="23">
        <f>H241-(H241/100*15)</f>
        <v>11.1435</v>
      </c>
      <c r="J241" s="23">
        <f>H241-(H241/100*20)</f>
        <v>10.488</v>
      </c>
      <c r="K241" s="24">
        <v>24</v>
      </c>
    </row>
    <row r="242" spans="1:11" s="125" customFormat="1" ht="15" customHeight="1" x14ac:dyDescent="0.2">
      <c r="A242" s="13" t="s">
        <v>84</v>
      </c>
      <c r="B242" s="17">
        <v>11.77</v>
      </c>
      <c r="C242" s="6">
        <f>B242-(B242/100*14.95)</f>
        <v>10.010384999999999</v>
      </c>
      <c r="D242" s="6">
        <f>B242-(B242/100*20)</f>
        <v>9.4160000000000004</v>
      </c>
      <c r="E242" s="30"/>
      <c r="F242" s="113"/>
      <c r="G242" s="13" t="s">
        <v>96</v>
      </c>
      <c r="H242" s="17">
        <v>7.62</v>
      </c>
      <c r="I242" s="23">
        <f>H242-(H242/100*15)</f>
        <v>6.4770000000000003</v>
      </c>
      <c r="J242" s="23">
        <f>H242-(H242/100*20)</f>
        <v>6.0960000000000001</v>
      </c>
      <c r="K242" s="24">
        <v>32</v>
      </c>
    </row>
    <row r="243" spans="1:11" s="125" customFormat="1" ht="19.5" customHeight="1" x14ac:dyDescent="0.2">
      <c r="A243" s="13" t="s">
        <v>313</v>
      </c>
      <c r="B243" s="17">
        <v>27.3</v>
      </c>
      <c r="C243" s="6">
        <f>B243-(B243/100*3.84)</f>
        <v>26.25168</v>
      </c>
      <c r="D243" s="6">
        <f>C243-(C243/100*4)</f>
        <v>25.201612799999999</v>
      </c>
      <c r="E243" s="30"/>
      <c r="F243" s="113"/>
      <c r="G243" s="13" t="s">
        <v>438</v>
      </c>
      <c r="H243" s="17">
        <v>3.58</v>
      </c>
      <c r="I243" s="23">
        <f>H243-(H243/100*3.84)</f>
        <v>3.4425280000000003</v>
      </c>
      <c r="J243" s="23">
        <f>I243-(I243/100*3.84)</f>
        <v>3.3103349248000002</v>
      </c>
      <c r="K243" s="24">
        <v>10</v>
      </c>
    </row>
    <row r="244" spans="1:11" s="125" customFormat="1" ht="15.75" customHeight="1" x14ac:dyDescent="0.2">
      <c r="A244" s="13" t="s">
        <v>85</v>
      </c>
      <c r="B244" s="17">
        <v>17.34</v>
      </c>
      <c r="C244" s="6">
        <f>B244-(B244/100*15)</f>
        <v>14.739000000000001</v>
      </c>
      <c r="D244" s="6">
        <f>B244-(B244/100*20)</f>
        <v>13.872</v>
      </c>
      <c r="E244" s="30"/>
      <c r="F244" s="113"/>
      <c r="G244" s="13" t="s">
        <v>563</v>
      </c>
      <c r="H244" s="17">
        <v>5.97</v>
      </c>
      <c r="I244" s="23">
        <f>H244-(H244/100*15)</f>
        <v>5.0744999999999996</v>
      </c>
      <c r="J244" s="23">
        <f t="shared" ref="J244:J251" si="58">I244-(I244/100*5.9)</f>
        <v>4.7751044999999994</v>
      </c>
      <c r="K244" s="24">
        <v>5</v>
      </c>
    </row>
    <row r="245" spans="1:11" s="125" customFormat="1" ht="16.5" customHeight="1" x14ac:dyDescent="0.2">
      <c r="A245" s="25" t="s">
        <v>527</v>
      </c>
      <c r="B245" s="17">
        <v>1.98</v>
      </c>
      <c r="C245" s="6">
        <f>B245-(B245/100*3.9)</f>
        <v>1.9027799999999999</v>
      </c>
      <c r="D245" s="6">
        <f>B245-(B245/100*8)</f>
        <v>1.8216000000000001</v>
      </c>
      <c r="E245" s="30">
        <v>15</v>
      </c>
      <c r="F245" s="113"/>
      <c r="G245" s="13" t="s">
        <v>562</v>
      </c>
      <c r="H245" s="17">
        <v>6.57</v>
      </c>
      <c r="I245" s="23">
        <f>H245-(H245/100*14.9)</f>
        <v>5.5910700000000002</v>
      </c>
      <c r="J245" s="23">
        <f t="shared" si="58"/>
        <v>5.26119687</v>
      </c>
      <c r="K245" s="24">
        <v>5</v>
      </c>
    </row>
    <row r="246" spans="1:11" s="125" customFormat="1" ht="16.5" customHeight="1" x14ac:dyDescent="0.2">
      <c r="A246" s="13" t="s">
        <v>608</v>
      </c>
      <c r="B246" s="17">
        <v>3.11</v>
      </c>
      <c r="C246" s="6">
        <f>B246-(B246/100*14.7)</f>
        <v>2.6528299999999998</v>
      </c>
      <c r="D246" s="6">
        <f>B246-(B246/100*19.9)</f>
        <v>2.4911099999999999</v>
      </c>
      <c r="E246" s="30">
        <v>9</v>
      </c>
      <c r="F246" s="113"/>
      <c r="G246" s="13" t="s">
        <v>552</v>
      </c>
      <c r="H246" s="17">
        <v>7.21</v>
      </c>
      <c r="I246" s="23">
        <f>H246-(H246/100*15)</f>
        <v>6.1284999999999998</v>
      </c>
      <c r="J246" s="23">
        <f t="shared" si="58"/>
        <v>5.7669185000000001</v>
      </c>
      <c r="K246" s="24">
        <v>5</v>
      </c>
    </row>
    <row r="247" spans="1:11" s="125" customFormat="1" ht="15" customHeight="1" x14ac:dyDescent="0.2">
      <c r="A247" s="13" t="s">
        <v>424</v>
      </c>
      <c r="B247" s="17">
        <v>9.19</v>
      </c>
      <c r="C247" s="6">
        <f>B247-(B247/100*3.84)</f>
        <v>8.8371040000000001</v>
      </c>
      <c r="D247" s="6">
        <f>C247-(C247/100*4)</f>
        <v>8.4836198399999994</v>
      </c>
      <c r="E247" s="30">
        <v>5</v>
      </c>
      <c r="F247" s="113"/>
      <c r="G247" s="13" t="s">
        <v>555</v>
      </c>
      <c r="H247" s="17">
        <v>12.54</v>
      </c>
      <c r="I247" s="23">
        <f>H247-(H247/100*15)</f>
        <v>10.658999999999999</v>
      </c>
      <c r="J247" s="23">
        <f t="shared" si="58"/>
        <v>10.030118999999999</v>
      </c>
      <c r="K247" s="24">
        <v>50</v>
      </c>
    </row>
    <row r="248" spans="1:11" s="125" customFormat="1" ht="15" customHeight="1" x14ac:dyDescent="0.2">
      <c r="A248" s="13" t="s">
        <v>141</v>
      </c>
      <c r="B248" s="17">
        <v>24.62</v>
      </c>
      <c r="C248" s="6">
        <f>B248-(B248/100*15)</f>
        <v>20.927</v>
      </c>
      <c r="D248" s="6">
        <f t="shared" ref="D248:D253" si="59">B248-(B248/100*20)</f>
        <v>19.696000000000002</v>
      </c>
      <c r="E248" s="30">
        <v>1</v>
      </c>
      <c r="F248" s="113"/>
      <c r="G248" s="13" t="s">
        <v>551</v>
      </c>
      <c r="H248" s="17">
        <v>15.05</v>
      </c>
      <c r="I248" s="23">
        <f>H248-(H248/100*15)</f>
        <v>12.7925</v>
      </c>
      <c r="J248" s="23">
        <f t="shared" si="58"/>
        <v>12.0377425</v>
      </c>
      <c r="K248" s="24">
        <v>20</v>
      </c>
    </row>
    <row r="249" spans="1:11" s="125" customFormat="1" ht="15" customHeight="1" x14ac:dyDescent="0.2">
      <c r="A249" s="13" t="s">
        <v>379</v>
      </c>
      <c r="B249" s="17">
        <v>2.12</v>
      </c>
      <c r="C249" s="6">
        <f>B249-(B249/100*14.8)</f>
        <v>1.8062400000000001</v>
      </c>
      <c r="D249" s="6">
        <f t="shared" si="59"/>
        <v>1.6960000000000002</v>
      </c>
      <c r="E249" s="30"/>
      <c r="F249" s="113"/>
      <c r="G249" s="13" t="s">
        <v>556</v>
      </c>
      <c r="H249" s="17">
        <v>15.86</v>
      </c>
      <c r="I249" s="23">
        <f>H249-(H249/100*15)</f>
        <v>13.481</v>
      </c>
      <c r="J249" s="23">
        <f t="shared" si="58"/>
        <v>12.685620999999999</v>
      </c>
      <c r="K249" s="24">
        <v>10</v>
      </c>
    </row>
    <row r="250" spans="1:11" s="125" customFormat="1" ht="15" customHeight="1" x14ac:dyDescent="0.2">
      <c r="A250" s="13" t="s">
        <v>86</v>
      </c>
      <c r="B250" s="17">
        <v>1.87</v>
      </c>
      <c r="C250" s="6">
        <f>B250-(B250/100*14.8)</f>
        <v>1.5932400000000002</v>
      </c>
      <c r="D250" s="6">
        <f>B250-(B250/100*20.5)</f>
        <v>1.48665</v>
      </c>
      <c r="E250" s="30">
        <v>48</v>
      </c>
      <c r="F250" s="113"/>
      <c r="G250" s="13" t="s">
        <v>553</v>
      </c>
      <c r="H250" s="17">
        <v>17.239999999999998</v>
      </c>
      <c r="I250" s="23">
        <f>H250-(H250/100*14.95)</f>
        <v>14.662619999999999</v>
      </c>
      <c r="J250" s="23">
        <f t="shared" si="58"/>
        <v>13.797525419999999</v>
      </c>
      <c r="K250" s="24">
        <v>20</v>
      </c>
    </row>
    <row r="251" spans="1:11" s="125" customFormat="1" ht="15" customHeight="1" x14ac:dyDescent="0.2">
      <c r="A251" s="13" t="s">
        <v>88</v>
      </c>
      <c r="B251" s="14">
        <v>2.44</v>
      </c>
      <c r="C251" s="6">
        <f>B251-(B251/100*15)</f>
        <v>2.0739999999999998</v>
      </c>
      <c r="D251" s="6">
        <f t="shared" si="59"/>
        <v>1.952</v>
      </c>
      <c r="E251" s="30">
        <v>36</v>
      </c>
      <c r="F251" s="113"/>
      <c r="G251" s="13" t="s">
        <v>554</v>
      </c>
      <c r="H251" s="17">
        <v>20.59</v>
      </c>
      <c r="I251" s="23">
        <f>H251-(H251/100*14.99)</f>
        <v>17.503558999999999</v>
      </c>
      <c r="J251" s="23">
        <f t="shared" si="58"/>
        <v>16.470849018999999</v>
      </c>
      <c r="K251" s="24">
        <v>20</v>
      </c>
    </row>
    <row r="252" spans="1:11" s="125" customFormat="1" ht="15" customHeight="1" x14ac:dyDescent="0.2">
      <c r="A252" s="13" t="s">
        <v>90</v>
      </c>
      <c r="B252" s="17">
        <v>2.04</v>
      </c>
      <c r="C252" s="6">
        <f>B252-(B252/100*15)</f>
        <v>1.734</v>
      </c>
      <c r="D252" s="6">
        <f t="shared" si="59"/>
        <v>1.6320000000000001</v>
      </c>
      <c r="E252" s="30">
        <v>48</v>
      </c>
      <c r="F252" s="113"/>
      <c r="G252" s="25" t="s">
        <v>118</v>
      </c>
      <c r="H252" s="17">
        <v>7.31</v>
      </c>
      <c r="I252" s="32">
        <f>H252-(H252/100*3.84)</f>
        <v>7.0292959999999995</v>
      </c>
      <c r="J252" s="32">
        <f>I252-(I252/100*4.1)</f>
        <v>6.7410948639999999</v>
      </c>
      <c r="K252" s="108"/>
    </row>
    <row r="253" spans="1:11" s="125" customFormat="1" ht="15" customHeight="1" x14ac:dyDescent="0.2">
      <c r="A253" s="13" t="s">
        <v>464</v>
      </c>
      <c r="B253" s="17">
        <v>1.44</v>
      </c>
      <c r="C253" s="6">
        <f>B253-(B253/100*15)</f>
        <v>1.224</v>
      </c>
      <c r="D253" s="6">
        <f t="shared" si="59"/>
        <v>1.1519999999999999</v>
      </c>
      <c r="E253" s="30">
        <v>36</v>
      </c>
      <c r="F253" s="113"/>
      <c r="G253" s="55" t="s">
        <v>573</v>
      </c>
      <c r="H253" s="17">
        <v>7.78</v>
      </c>
      <c r="I253" s="32">
        <f>H253-(H253/100*15)</f>
        <v>6.6130000000000004</v>
      </c>
      <c r="J253" s="32">
        <f>I253-(I253/100*6)</f>
        <v>6.2162200000000007</v>
      </c>
      <c r="K253" s="108">
        <v>120</v>
      </c>
    </row>
    <row r="254" spans="1:11" s="125" customFormat="1" ht="15" customHeight="1" x14ac:dyDescent="0.2">
      <c r="A254" s="57" t="s">
        <v>92</v>
      </c>
      <c r="B254" s="14">
        <v>1.03</v>
      </c>
      <c r="C254" s="6">
        <f>B254-(B254/100*3.84)</f>
        <v>0.990448</v>
      </c>
      <c r="D254" s="6">
        <f>C254-(C254/100*4)</f>
        <v>0.95083008000000002</v>
      </c>
      <c r="E254" s="30">
        <v>36</v>
      </c>
      <c r="F254" s="113"/>
      <c r="G254" s="13" t="s">
        <v>331</v>
      </c>
      <c r="H254" s="17">
        <v>4.9400000000000004</v>
      </c>
      <c r="I254" s="32">
        <f>H254-(H254/100*3.84)</f>
        <v>4.7503040000000007</v>
      </c>
      <c r="J254" s="32">
        <f>I254-(I254/100*4.1)</f>
        <v>4.5555415360000007</v>
      </c>
      <c r="K254" s="108"/>
    </row>
    <row r="255" spans="1:11" s="125" customFormat="1" ht="15" customHeight="1" thickBot="1" x14ac:dyDescent="0.25">
      <c r="A255" s="57" t="s">
        <v>139</v>
      </c>
      <c r="B255" s="14">
        <v>0.99</v>
      </c>
      <c r="C255" s="6">
        <f t="shared" ref="C255:C260" si="60">B255-(B255/100*15)</f>
        <v>0.84150000000000003</v>
      </c>
      <c r="D255" s="6">
        <f t="shared" ref="D255:D259" si="61">B255-(B255/100*20)</f>
        <v>0.79200000000000004</v>
      </c>
      <c r="E255" s="30">
        <v>36</v>
      </c>
      <c r="F255" s="113"/>
      <c r="G255" s="13" t="s">
        <v>375</v>
      </c>
      <c r="H255" s="17">
        <v>5.81</v>
      </c>
      <c r="I255" s="32">
        <f>H255-(H255/100*3.84)</f>
        <v>5.5868959999999994</v>
      </c>
      <c r="J255" s="32">
        <f>I255-(I255/100*4)</f>
        <v>5.3634201599999995</v>
      </c>
      <c r="K255" s="108"/>
    </row>
    <row r="256" spans="1:11" s="125" customFormat="1" ht="26.25" customHeight="1" x14ac:dyDescent="0.2">
      <c r="A256" s="57" t="s">
        <v>138</v>
      </c>
      <c r="B256" s="14">
        <v>2.4300000000000002</v>
      </c>
      <c r="C256" s="6">
        <f t="shared" si="60"/>
        <v>2.0655000000000001</v>
      </c>
      <c r="D256" s="6">
        <f t="shared" si="61"/>
        <v>1.9440000000000002</v>
      </c>
      <c r="E256" s="30">
        <v>24</v>
      </c>
      <c r="F256" s="119"/>
      <c r="G256" s="25" t="s">
        <v>201</v>
      </c>
      <c r="H256" s="17">
        <v>11.78</v>
      </c>
      <c r="I256" s="32">
        <f>H256-(H256/100*14.9)</f>
        <v>10.02478</v>
      </c>
      <c r="J256" s="32">
        <f>H256-(H256/100*19.99)</f>
        <v>9.4251779999999989</v>
      </c>
      <c r="K256" s="108">
        <v>24</v>
      </c>
    </row>
    <row r="257" spans="1:11" s="125" customFormat="1" ht="15" customHeight="1" x14ac:dyDescent="0.2">
      <c r="A257" s="25" t="s">
        <v>611</v>
      </c>
      <c r="B257" s="17">
        <v>4.3099999999999996</v>
      </c>
      <c r="C257" s="6">
        <f t="shared" si="60"/>
        <v>3.6634999999999995</v>
      </c>
      <c r="D257" s="6">
        <f>B257-(B257/100*20.3)</f>
        <v>3.4350699999999996</v>
      </c>
      <c r="E257" s="30">
        <v>6</v>
      </c>
      <c r="F257" s="123"/>
      <c r="G257" s="13" t="s">
        <v>151</v>
      </c>
      <c r="H257" s="17">
        <v>2.9</v>
      </c>
      <c r="I257" s="32">
        <f t="shared" ref="I257:I262" si="62">H257-(H257/100*3.84)</f>
        <v>2.78864</v>
      </c>
      <c r="J257" s="32">
        <f>I257/125*114.7</f>
        <v>2.5588560640000004</v>
      </c>
      <c r="K257" s="108"/>
    </row>
    <row r="258" spans="1:11" s="125" customFormat="1" ht="15" customHeight="1" x14ac:dyDescent="0.2">
      <c r="A258" s="13" t="s">
        <v>315</v>
      </c>
      <c r="B258" s="17">
        <v>11.19</v>
      </c>
      <c r="C258" s="6">
        <f t="shared" si="60"/>
        <v>9.5114999999999998</v>
      </c>
      <c r="D258" s="6">
        <f t="shared" si="61"/>
        <v>8.952</v>
      </c>
      <c r="E258" s="30">
        <v>24</v>
      </c>
      <c r="F258" s="123"/>
      <c r="G258" s="13" t="s">
        <v>376</v>
      </c>
      <c r="H258" s="17">
        <v>9.5299999999999994</v>
      </c>
      <c r="I258" s="23">
        <f t="shared" si="62"/>
        <v>9.1640479999999993</v>
      </c>
      <c r="J258" s="32">
        <f>I258-(I258/100*4)</f>
        <v>8.7974860799999988</v>
      </c>
      <c r="K258" s="108"/>
    </row>
    <row r="259" spans="1:11" s="125" customFormat="1" ht="15" customHeight="1" x14ac:dyDescent="0.2">
      <c r="A259" s="13" t="s">
        <v>314</v>
      </c>
      <c r="B259" s="17">
        <v>9.3000000000000007</v>
      </c>
      <c r="C259" s="14">
        <f>B259-(B259/100*15.02)</f>
        <v>7.9031400000000005</v>
      </c>
      <c r="D259" s="6">
        <f t="shared" si="61"/>
        <v>7.44</v>
      </c>
      <c r="E259" s="30" t="s">
        <v>112</v>
      </c>
      <c r="F259" s="123"/>
      <c r="G259" s="13" t="s">
        <v>97</v>
      </c>
      <c r="H259" s="17">
        <v>15.6</v>
      </c>
      <c r="I259" s="23">
        <f t="shared" si="62"/>
        <v>15.000959999999999</v>
      </c>
      <c r="J259" s="32">
        <f>I259-(I259/100*4)</f>
        <v>14.400921599999998</v>
      </c>
      <c r="K259" s="108"/>
    </row>
    <row r="260" spans="1:11" s="125" customFormat="1" ht="15" customHeight="1" thickBot="1" x14ac:dyDescent="0.25">
      <c r="A260" s="13" t="s">
        <v>418</v>
      </c>
      <c r="B260" s="17">
        <v>5.34</v>
      </c>
      <c r="C260" s="14">
        <f t="shared" si="60"/>
        <v>4.5389999999999997</v>
      </c>
      <c r="D260" s="6">
        <f>B260-(B260/100*19.9)</f>
        <v>4.2773399999999997</v>
      </c>
      <c r="E260" s="30" t="s">
        <v>109</v>
      </c>
      <c r="F260" s="120"/>
      <c r="G260" s="13" t="s">
        <v>98</v>
      </c>
      <c r="H260" s="17">
        <v>11.74</v>
      </c>
      <c r="I260" s="32">
        <f t="shared" si="62"/>
        <v>11.289184000000001</v>
      </c>
      <c r="J260" s="32">
        <f>I260-(I260/100*4)</f>
        <v>10.83761664</v>
      </c>
      <c r="K260" s="108"/>
    </row>
    <row r="261" spans="1:11" s="125" customFormat="1" ht="16.5" customHeight="1" x14ac:dyDescent="0.2">
      <c r="A261" s="13" t="s">
        <v>458</v>
      </c>
      <c r="B261" s="17">
        <v>4.01</v>
      </c>
      <c r="C261" s="6">
        <f>B261-(B261/100*8.2)</f>
        <v>3.6811799999999999</v>
      </c>
      <c r="D261" s="6">
        <f>C261-(C261/100*4.6)</f>
        <v>3.5118457199999997</v>
      </c>
      <c r="E261" s="30" t="s">
        <v>109</v>
      </c>
      <c r="F261" s="147"/>
      <c r="G261" s="13" t="s">
        <v>99</v>
      </c>
      <c r="H261" s="17">
        <v>5.71</v>
      </c>
      <c r="I261" s="32">
        <f t="shared" si="62"/>
        <v>5.4907360000000001</v>
      </c>
      <c r="J261" s="32">
        <f>I261-(I261/100*10.4)</f>
        <v>4.919699456</v>
      </c>
      <c r="K261" s="108"/>
    </row>
    <row r="262" spans="1:11" s="125" customFormat="1" ht="15" customHeight="1" x14ac:dyDescent="0.2">
      <c r="A262" s="36" t="s">
        <v>510</v>
      </c>
      <c r="B262" s="37">
        <v>1.76</v>
      </c>
      <c r="C262" s="6">
        <f>B262-(B262/100*3.84)</f>
        <v>1.6924159999999999</v>
      </c>
      <c r="D262" s="6">
        <f>C262/125*120</f>
        <v>1.6247193600000001</v>
      </c>
      <c r="E262" s="30">
        <v>6000</v>
      </c>
      <c r="F262" s="120"/>
      <c r="G262" s="13" t="s">
        <v>634</v>
      </c>
      <c r="H262" s="17">
        <v>7.19</v>
      </c>
      <c r="I262" s="23">
        <f t="shared" si="62"/>
        <v>6.9139040000000005</v>
      </c>
      <c r="J262" s="32">
        <f>I262-(I262/100*4)</f>
        <v>6.6373478400000003</v>
      </c>
      <c r="K262" s="108"/>
    </row>
    <row r="263" spans="1:11" s="125" customFormat="1" ht="15" customHeight="1" x14ac:dyDescent="0.2">
      <c r="A263" s="60" t="s">
        <v>612</v>
      </c>
      <c r="B263" s="59">
        <v>1.18</v>
      </c>
      <c r="C263" s="59">
        <f>B263-(B263/100*15)</f>
        <v>1.0029999999999999</v>
      </c>
      <c r="D263" s="59">
        <f>C263-(C263/100*5.8)</f>
        <v>0.94482599999999994</v>
      </c>
      <c r="E263" s="30" t="s">
        <v>125</v>
      </c>
      <c r="F263" s="122"/>
      <c r="G263" s="25" t="s">
        <v>332</v>
      </c>
      <c r="H263" s="17">
        <v>25.96</v>
      </c>
      <c r="I263" s="32">
        <f>H263-(H263/100*3.85)</f>
        <v>24.960540000000002</v>
      </c>
      <c r="J263" s="32">
        <f>I263/125*120</f>
        <v>23.962118400000001</v>
      </c>
      <c r="K263" s="24"/>
    </row>
    <row r="264" spans="1:11" s="125" customFormat="1" ht="15" customHeight="1" x14ac:dyDescent="0.2">
      <c r="A264" s="162" t="s">
        <v>620</v>
      </c>
      <c r="B264" s="14">
        <v>1.95</v>
      </c>
      <c r="C264" s="14">
        <v>1.66</v>
      </c>
      <c r="D264" s="14">
        <v>1.56</v>
      </c>
      <c r="E264" s="163">
        <v>30</v>
      </c>
      <c r="F264" s="122"/>
      <c r="G264" s="25" t="s">
        <v>150</v>
      </c>
      <c r="H264" s="17">
        <v>35.71</v>
      </c>
      <c r="I264" s="32">
        <f>H264-(H264/100*3.85)</f>
        <v>34.335165000000003</v>
      </c>
      <c r="J264" s="32">
        <f>I264/125*120</f>
        <v>32.961758400000001</v>
      </c>
      <c r="K264" s="24"/>
    </row>
    <row r="265" spans="1:11" s="125" customFormat="1" ht="22.5" customHeight="1" x14ac:dyDescent="0.2">
      <c r="A265" s="162" t="s">
        <v>621</v>
      </c>
      <c r="B265" s="14">
        <v>2.93</v>
      </c>
      <c r="C265" s="14">
        <v>2.4900000000000002</v>
      </c>
      <c r="D265" s="14">
        <v>2.34</v>
      </c>
      <c r="E265" s="163">
        <v>100</v>
      </c>
      <c r="F265" s="123"/>
      <c r="G265" s="25" t="s">
        <v>149</v>
      </c>
      <c r="H265" s="17">
        <v>70.069999999999993</v>
      </c>
      <c r="I265" s="32">
        <f>H265-(H265/100*3.84)</f>
        <v>67.379311999999999</v>
      </c>
      <c r="J265" s="32">
        <f>I265/125*120</f>
        <v>64.684139520000002</v>
      </c>
      <c r="K265" s="24"/>
    </row>
    <row r="266" spans="1:11" s="125" customFormat="1" ht="15" customHeight="1" x14ac:dyDescent="0.2">
      <c r="A266" s="162" t="s">
        <v>622</v>
      </c>
      <c r="B266" s="14">
        <v>1.95</v>
      </c>
      <c r="C266" s="14">
        <v>1.66</v>
      </c>
      <c r="D266" s="14">
        <v>1.56</v>
      </c>
      <c r="E266" s="163">
        <v>120</v>
      </c>
      <c r="F266" s="121"/>
      <c r="G266" s="25" t="s">
        <v>635</v>
      </c>
      <c r="H266" s="17">
        <v>4.37</v>
      </c>
      <c r="I266" s="32">
        <f>H266-(H266/100*3.84)</f>
        <v>4.2021920000000001</v>
      </c>
      <c r="J266" s="32">
        <f>I266-(I266/100*4)</f>
        <v>4.03410432</v>
      </c>
      <c r="K266" s="24"/>
    </row>
    <row r="267" spans="1:11" s="125" customFormat="1" ht="20.25" customHeight="1" x14ac:dyDescent="0.2">
      <c r="A267" s="166" t="s">
        <v>95</v>
      </c>
      <c r="B267" s="167"/>
      <c r="C267" s="167"/>
      <c r="D267" s="167"/>
      <c r="E267" s="168"/>
      <c r="F267" s="121"/>
      <c r="G267" s="13" t="s">
        <v>614</v>
      </c>
      <c r="H267" s="17">
        <v>1.22</v>
      </c>
      <c r="I267" s="32">
        <f>H267-(H267/100*3.5)</f>
        <v>1.1773</v>
      </c>
      <c r="J267" s="32">
        <f>I267-(I267/100*4)</f>
        <v>1.1302080000000001</v>
      </c>
      <c r="K267" s="24">
        <v>20</v>
      </c>
    </row>
    <row r="268" spans="1:11" s="125" customFormat="1" ht="15" customHeight="1" x14ac:dyDescent="0.2">
      <c r="A268" s="103" t="s">
        <v>474</v>
      </c>
      <c r="B268" s="88">
        <v>2.1800000000000002</v>
      </c>
      <c r="C268" s="14">
        <f>B268-(B268/100*3.84)</f>
        <v>2.0962880000000004</v>
      </c>
      <c r="D268" s="14">
        <f>C268-(C268/100*3.84)</f>
        <v>2.0157905408000003</v>
      </c>
      <c r="E268" s="104" t="s">
        <v>454</v>
      </c>
      <c r="F268" s="121"/>
      <c r="G268" s="13" t="s">
        <v>408</v>
      </c>
      <c r="H268" s="17">
        <v>4.95</v>
      </c>
      <c r="I268" s="23">
        <f>H268-(H268/100*3.84)</f>
        <v>4.7599200000000002</v>
      </c>
      <c r="J268" s="23">
        <f>I268/125*120</f>
        <v>4.5695231999999999</v>
      </c>
      <c r="K268" s="24">
        <v>10</v>
      </c>
    </row>
    <row r="269" spans="1:11" s="125" customFormat="1" ht="15" customHeight="1" x14ac:dyDescent="0.2">
      <c r="A269" s="36" t="s">
        <v>475</v>
      </c>
      <c r="B269" s="37">
        <v>2.89</v>
      </c>
      <c r="C269" s="14">
        <f>B269-(B269/100*3.84)</f>
        <v>2.7790240000000002</v>
      </c>
      <c r="D269" s="14">
        <f>C269-(C269/100*4.2)</f>
        <v>2.6623049920000001</v>
      </c>
      <c r="E269" s="106"/>
      <c r="F269" s="121"/>
      <c r="G269" s="13" t="s">
        <v>333</v>
      </c>
      <c r="H269" s="17">
        <v>2.0099999999999998</v>
      </c>
      <c r="I269" s="23">
        <f>H269-(H269/100*15)</f>
        <v>1.7084999999999999</v>
      </c>
      <c r="J269" s="23">
        <f>H269-(H269/100*20)</f>
        <v>1.6079999999999999</v>
      </c>
      <c r="K269" s="29"/>
    </row>
    <row r="270" spans="1:11" s="125" customFormat="1" ht="15" customHeight="1" x14ac:dyDescent="0.2">
      <c r="A270" s="36" t="s">
        <v>128</v>
      </c>
      <c r="B270" s="37">
        <v>1.3</v>
      </c>
      <c r="C270" s="14">
        <f>B270-(B270/100*3.84)</f>
        <v>1.2500800000000001</v>
      </c>
      <c r="D270" s="14">
        <f>C270-(C270/100*4)</f>
        <v>1.2000768000000002</v>
      </c>
      <c r="E270" s="102" t="s">
        <v>127</v>
      </c>
      <c r="F270" s="121"/>
      <c r="G270" s="13" t="s">
        <v>334</v>
      </c>
      <c r="H270" s="17">
        <v>8.7100000000000009</v>
      </c>
      <c r="I270" s="23">
        <f>H270-(H270/100*3.84)</f>
        <v>8.3755360000000003</v>
      </c>
      <c r="J270" s="23">
        <f>I270/125*120</f>
        <v>8.0405145600000019</v>
      </c>
      <c r="K270" s="29"/>
    </row>
    <row r="271" spans="1:11" s="125" customFormat="1" ht="15" customHeight="1" x14ac:dyDescent="0.2">
      <c r="A271" s="36" t="s">
        <v>476</v>
      </c>
      <c r="B271" s="37">
        <v>1.7</v>
      </c>
      <c r="C271" s="14">
        <f>B271-(B271/100*8.2)</f>
        <v>1.5606</v>
      </c>
      <c r="D271" s="14">
        <f>C271-(C271/100*4.5)</f>
        <v>1.4903729999999999</v>
      </c>
      <c r="E271" s="102" t="s">
        <v>455</v>
      </c>
      <c r="F271" s="121"/>
      <c r="G271" s="13" t="s">
        <v>100</v>
      </c>
      <c r="H271" s="37">
        <v>0.1</v>
      </c>
      <c r="I271" s="114">
        <f>H271-(H271/100*3.84)</f>
        <v>9.6160000000000009E-2</v>
      </c>
      <c r="J271" s="114">
        <f>I271-(I271/100*3.84)</f>
        <v>9.2467456000000003E-2</v>
      </c>
      <c r="K271" s="115"/>
    </row>
    <row r="272" spans="1:11" ht="15" customHeight="1" x14ac:dyDescent="0.25">
      <c r="A272" s="36" t="s">
        <v>477</v>
      </c>
      <c r="B272" s="37">
        <v>3.95</v>
      </c>
      <c r="C272" s="14">
        <f>B272-(B272/100*8.4)</f>
        <v>3.6182000000000003</v>
      </c>
      <c r="D272" s="105">
        <f>C272-(C272/100*4.7)</f>
        <v>3.4481446000000004</v>
      </c>
      <c r="E272" s="106" t="s">
        <v>176</v>
      </c>
      <c r="F272" s="121"/>
      <c r="G272" s="13" t="s">
        <v>335</v>
      </c>
      <c r="H272" s="37">
        <v>6.63</v>
      </c>
      <c r="I272" s="114">
        <f>H272-(H272/100*15.05)</f>
        <v>5.6321849999999998</v>
      </c>
      <c r="J272" s="114">
        <f>H272-(H272/100*20)</f>
        <v>5.3040000000000003</v>
      </c>
      <c r="K272" s="115">
        <v>15</v>
      </c>
    </row>
    <row r="273" spans="1:11" ht="15" customHeight="1" thickBot="1" x14ac:dyDescent="0.3">
      <c r="A273" s="36" t="s">
        <v>627</v>
      </c>
      <c r="B273" s="37">
        <v>4.7</v>
      </c>
      <c r="C273" s="14">
        <f>B273-(B273/100*15)</f>
        <v>3.9950000000000001</v>
      </c>
      <c r="D273" s="105">
        <f>C273-(C273/100*6)</f>
        <v>3.7553000000000001</v>
      </c>
      <c r="E273" s="106" t="s">
        <v>123</v>
      </c>
      <c r="F273" s="124"/>
      <c r="G273" s="13" t="s">
        <v>101</v>
      </c>
      <c r="H273" s="37">
        <v>7.93</v>
      </c>
      <c r="I273" s="114">
        <f>H273-(H273/100*3.84)</f>
        <v>7.6254879999999998</v>
      </c>
      <c r="J273" s="114">
        <f>I273/125*120</f>
        <v>7.3204684799999997</v>
      </c>
      <c r="K273" s="115">
        <v>15</v>
      </c>
    </row>
    <row r="274" spans="1:11" ht="22.5" customHeight="1" x14ac:dyDescent="0.25">
      <c r="A274" s="13" t="s">
        <v>478</v>
      </c>
      <c r="B274" s="17">
        <v>7</v>
      </c>
      <c r="C274" s="59">
        <f>B274</f>
        <v>7</v>
      </c>
      <c r="D274" s="59">
        <f>C274-(C274/100*14.3)</f>
        <v>5.9989999999999997</v>
      </c>
      <c r="E274" s="30"/>
      <c r="F274" s="121"/>
      <c r="G274" s="166" t="s">
        <v>130</v>
      </c>
      <c r="H274" s="167"/>
      <c r="I274" s="167"/>
      <c r="J274" s="167"/>
      <c r="K274" s="168"/>
    </row>
    <row r="275" spans="1:11" ht="15" customHeight="1" x14ac:dyDescent="0.25">
      <c r="A275" s="13" t="s">
        <v>380</v>
      </c>
      <c r="B275" s="17">
        <v>1.24</v>
      </c>
      <c r="C275" s="105">
        <f>B275-(B275/100*4)</f>
        <v>1.1903999999999999</v>
      </c>
      <c r="D275" s="105">
        <f>C275-(C275/100*3.84)</f>
        <v>1.1446886399999998</v>
      </c>
      <c r="E275" s="109" t="s">
        <v>121</v>
      </c>
      <c r="F275" s="121"/>
      <c r="G275" s="13" t="s">
        <v>180</v>
      </c>
      <c r="H275" s="118">
        <v>12.16</v>
      </c>
      <c r="I275" s="14">
        <f>H275-(H275/100*3.84)</f>
        <v>11.693056</v>
      </c>
      <c r="J275" s="14">
        <f>I275-(I275/100*4.05)</f>
        <v>11.219487232000001</v>
      </c>
      <c r="K275" s="29"/>
    </row>
    <row r="276" spans="1:11" ht="18" customHeight="1" x14ac:dyDescent="0.25">
      <c r="A276" s="13" t="s">
        <v>175</v>
      </c>
      <c r="B276" s="17">
        <v>1.55</v>
      </c>
      <c r="C276" s="105">
        <f>B276-(B276/100*3.84)</f>
        <v>1.49048</v>
      </c>
      <c r="D276" s="105">
        <f>C276-(C276/100*4)</f>
        <v>1.4308608</v>
      </c>
      <c r="E276" s="109" t="s">
        <v>111</v>
      </c>
      <c r="F276" s="121"/>
      <c r="G276" s="13" t="s">
        <v>383</v>
      </c>
      <c r="H276" s="118">
        <v>0.28000000000000003</v>
      </c>
      <c r="I276" s="14">
        <f>H276-(H276/100*16.9)</f>
        <v>0.23268000000000003</v>
      </c>
      <c r="J276" s="14">
        <f>I276-(I276/100*3.84)</f>
        <v>0.22374508800000004</v>
      </c>
      <c r="K276" s="29"/>
    </row>
    <row r="277" spans="1:11" ht="15" customHeight="1" x14ac:dyDescent="0.25">
      <c r="A277" s="60" t="s">
        <v>172</v>
      </c>
      <c r="B277" s="59">
        <v>8.1300000000000008</v>
      </c>
      <c r="C277" s="59">
        <f>B277-(B277/100*3.84)</f>
        <v>7.8178080000000012</v>
      </c>
      <c r="D277" s="59">
        <f>C277-(C277/100*4)</f>
        <v>7.505095680000001</v>
      </c>
      <c r="E277" s="109" t="s">
        <v>109</v>
      </c>
      <c r="F277" s="121"/>
      <c r="G277" s="13" t="s">
        <v>170</v>
      </c>
      <c r="H277" s="118">
        <v>6.63</v>
      </c>
      <c r="I277" s="14">
        <f>H277-(H277/100*3.84)</f>
        <v>6.3754080000000002</v>
      </c>
      <c r="J277" s="14">
        <f>I277-(I277/100*4)</f>
        <v>6.12039168</v>
      </c>
      <c r="K277" s="29">
        <v>5</v>
      </c>
    </row>
    <row r="278" spans="1:11" ht="15" customHeight="1" x14ac:dyDescent="0.25">
      <c r="A278" s="60" t="s">
        <v>499</v>
      </c>
      <c r="B278" s="59">
        <v>5.2</v>
      </c>
      <c r="C278" s="59">
        <f>B278-(B278/100*3.84)</f>
        <v>5.0003200000000003</v>
      </c>
      <c r="D278" s="59">
        <f>C278-(C278/100*3.9)</f>
        <v>4.8053075200000004</v>
      </c>
      <c r="E278" s="109" t="s">
        <v>110</v>
      </c>
      <c r="F278" s="121"/>
      <c r="G278" s="13" t="s">
        <v>177</v>
      </c>
      <c r="H278" s="118">
        <v>0.23</v>
      </c>
      <c r="I278" s="118">
        <v>0.23</v>
      </c>
      <c r="J278" s="14">
        <f>I278-(I278/100*3.84)</f>
        <v>0.221168</v>
      </c>
      <c r="K278" s="29">
        <v>50</v>
      </c>
    </row>
    <row r="279" spans="1:11" ht="15" customHeight="1" x14ac:dyDescent="0.25">
      <c r="A279" s="36" t="s">
        <v>483</v>
      </c>
      <c r="B279" s="37">
        <v>90.16</v>
      </c>
      <c r="C279" s="59">
        <f>B279-(B279/100*15)</f>
        <v>76.635999999999996</v>
      </c>
      <c r="D279" s="59">
        <f>B279-(B279/100*20)</f>
        <v>72.128</v>
      </c>
      <c r="E279" s="106" t="s">
        <v>109</v>
      </c>
      <c r="F279" s="121"/>
      <c r="G279" s="13" t="s">
        <v>131</v>
      </c>
      <c r="H279" s="118">
        <v>0.38</v>
      </c>
      <c r="I279" s="14">
        <f>H279-(H279/100*4)</f>
        <v>0.36480000000000001</v>
      </c>
      <c r="J279" s="14">
        <f>I279-(I279/100*3.84)</f>
        <v>0.35079167999999999</v>
      </c>
      <c r="K279" s="29">
        <v>50</v>
      </c>
    </row>
    <row r="280" spans="1:11" ht="15" customHeight="1" x14ac:dyDescent="0.25">
      <c r="A280" s="36" t="s">
        <v>482</v>
      </c>
      <c r="B280" s="37">
        <v>118.79</v>
      </c>
      <c r="C280" s="59">
        <f>B280</f>
        <v>118.79</v>
      </c>
      <c r="D280" s="59">
        <f>C280</f>
        <v>118.79</v>
      </c>
      <c r="E280" s="106" t="s">
        <v>109</v>
      </c>
      <c r="F280" s="121"/>
      <c r="G280" s="13" t="s">
        <v>132</v>
      </c>
      <c r="H280" s="118">
        <v>0.17</v>
      </c>
      <c r="I280" s="14">
        <f>H280-(H280/100*3.84)</f>
        <v>0.16347200000000001</v>
      </c>
      <c r="J280" s="14">
        <f>I280-(I280/100*12)</f>
        <v>0.14385536000000002</v>
      </c>
      <c r="K280" s="29"/>
    </row>
    <row r="281" spans="1:11" ht="15" customHeight="1" x14ac:dyDescent="0.25">
      <c r="A281" s="36" t="s">
        <v>481</v>
      </c>
      <c r="B281" s="37">
        <v>3.92</v>
      </c>
      <c r="C281" s="105">
        <f>B281-(B281/100*8.2)</f>
        <v>3.59856</v>
      </c>
      <c r="D281" s="105">
        <f>C281-(C281/100*4.8)</f>
        <v>3.4258291199999999</v>
      </c>
      <c r="E281" s="149" t="s">
        <v>124</v>
      </c>
      <c r="F281" s="121"/>
      <c r="G281" s="13" t="s">
        <v>133</v>
      </c>
      <c r="H281" s="118">
        <v>3.82</v>
      </c>
      <c r="I281" s="14">
        <f>H281-(H281/100*3.7)</f>
        <v>3.6786599999999998</v>
      </c>
      <c r="J281" s="14">
        <f>I281-(I281/100*3.95)</f>
        <v>3.5333529299999999</v>
      </c>
      <c r="K281" s="29"/>
    </row>
    <row r="282" spans="1:11" ht="15" customHeight="1" x14ac:dyDescent="0.25">
      <c r="A282" s="57" t="s">
        <v>480</v>
      </c>
      <c r="B282" s="14">
        <v>4.59</v>
      </c>
      <c r="C282" s="105">
        <f>B282-(B282/100*8.2)</f>
        <v>4.2136199999999997</v>
      </c>
      <c r="D282" s="105">
        <f>C282-(C282/100*4.8)</f>
        <v>4.0113662400000001</v>
      </c>
      <c r="E282" s="106" t="s">
        <v>109</v>
      </c>
      <c r="F282" s="121"/>
      <c r="G282" s="13" t="s">
        <v>425</v>
      </c>
      <c r="H282" s="118">
        <v>1.4</v>
      </c>
      <c r="I282" s="14">
        <f t="shared" ref="I282:J285" si="63">H282-(H282/100*3.84)</f>
        <v>1.3462399999999999</v>
      </c>
      <c r="J282" s="14">
        <f>I282-(I282/100*3.5)</f>
        <v>1.2991215999999999</v>
      </c>
      <c r="K282" s="29"/>
    </row>
    <row r="283" spans="1:11" ht="15" customHeight="1" x14ac:dyDescent="0.25">
      <c r="A283" s="36" t="s">
        <v>479</v>
      </c>
      <c r="B283" s="37">
        <v>8.84</v>
      </c>
      <c r="C283" s="105">
        <f>B283-(B283/100*3.84)</f>
        <v>8.5005439999999997</v>
      </c>
      <c r="D283" s="105">
        <f>C283-(C283/100*4)</f>
        <v>8.1605222399999988</v>
      </c>
      <c r="E283" s="106" t="s">
        <v>109</v>
      </c>
      <c r="F283" s="121"/>
      <c r="G283" s="13" t="s">
        <v>384</v>
      </c>
      <c r="H283" s="118">
        <v>1.94</v>
      </c>
      <c r="I283" s="14">
        <f>H283-(H283/100*6.5)</f>
        <v>1.8138999999999998</v>
      </c>
      <c r="J283" s="14">
        <f>I283-(I283/100*1.5)</f>
        <v>1.7866914999999999</v>
      </c>
      <c r="K283" s="29"/>
    </row>
    <row r="284" spans="1:11" ht="15" customHeight="1" x14ac:dyDescent="0.25">
      <c r="A284" s="36" t="s">
        <v>628</v>
      </c>
      <c r="B284" s="37">
        <v>3.4</v>
      </c>
      <c r="C284" s="105">
        <f>B284-(B284/100*15)</f>
        <v>2.8899999999999997</v>
      </c>
      <c r="D284" s="105">
        <f>C284-(C284/100*6)</f>
        <v>2.7165999999999997</v>
      </c>
      <c r="E284" s="149" t="s">
        <v>124</v>
      </c>
      <c r="F284" s="121"/>
      <c r="G284" s="13" t="s">
        <v>385</v>
      </c>
      <c r="H284" s="118">
        <v>0.61</v>
      </c>
      <c r="I284" s="14">
        <f t="shared" si="63"/>
        <v>0.58657599999999999</v>
      </c>
      <c r="J284" s="14">
        <f t="shared" si="63"/>
        <v>0.56405148159999996</v>
      </c>
      <c r="K284" s="29"/>
    </row>
    <row r="285" spans="1:11" ht="15" customHeight="1" x14ac:dyDescent="0.25">
      <c r="A285" s="36" t="s">
        <v>484</v>
      </c>
      <c r="B285" s="37">
        <v>2.41</v>
      </c>
      <c r="C285" s="105">
        <f>B285-(B285/100*3.5)</f>
        <v>2.32565</v>
      </c>
      <c r="D285" s="105">
        <f>C285/125*120</f>
        <v>2.2326239999999999</v>
      </c>
      <c r="E285" s="106" t="s">
        <v>109</v>
      </c>
      <c r="F285" s="121"/>
      <c r="G285" s="13" t="s">
        <v>616</v>
      </c>
      <c r="H285" s="118">
        <v>0.33</v>
      </c>
      <c r="I285" s="14">
        <f>H285-(H285/100*6)</f>
        <v>0.31020000000000003</v>
      </c>
      <c r="J285" s="14">
        <f t="shared" si="63"/>
        <v>0.29828832000000005</v>
      </c>
      <c r="K285" s="29"/>
    </row>
    <row r="286" spans="1:11" ht="15" customHeight="1" x14ac:dyDescent="0.25">
      <c r="A286" s="25" t="s">
        <v>381</v>
      </c>
      <c r="B286" s="17">
        <v>2.25</v>
      </c>
      <c r="C286" s="105">
        <f>B286-(B286/100*3.84)</f>
        <v>2.1636000000000002</v>
      </c>
      <c r="D286" s="105">
        <f>C286-(C286/100*3.84)</f>
        <v>2.0805177600000002</v>
      </c>
      <c r="E286" s="106" t="s">
        <v>111</v>
      </c>
      <c r="F286" s="121"/>
      <c r="G286" s="13" t="s">
        <v>134</v>
      </c>
      <c r="H286" s="118">
        <v>0.09</v>
      </c>
      <c r="I286" s="14">
        <f>H286-(H286/100*3.84)</f>
        <v>8.6543999999999996E-2</v>
      </c>
      <c r="J286" s="14">
        <f>I286-(I286/100*3.84)</f>
        <v>8.3220710399999995E-2</v>
      </c>
      <c r="K286" s="29">
        <v>12</v>
      </c>
    </row>
    <row r="287" spans="1:11" ht="15" customHeight="1" x14ac:dyDescent="0.25">
      <c r="A287" s="25" t="s">
        <v>316</v>
      </c>
      <c r="B287" s="17">
        <v>14.95</v>
      </c>
      <c r="C287" s="105">
        <f>B287-(B287/100*3.84)</f>
        <v>14.375919999999999</v>
      </c>
      <c r="D287" s="105">
        <f>C287-(C287/100*4)</f>
        <v>13.800883199999999</v>
      </c>
      <c r="E287" s="30"/>
      <c r="F287" s="121"/>
      <c r="G287" s="13" t="s">
        <v>135</v>
      </c>
      <c r="H287" s="118">
        <v>0.12</v>
      </c>
      <c r="I287" s="14">
        <f>H287-(H287/100*5)</f>
        <v>0.11399999999999999</v>
      </c>
      <c r="J287" s="14">
        <f>I287-(I287/100*3.84)</f>
        <v>0.10962239999999999</v>
      </c>
      <c r="K287" s="29">
        <v>40</v>
      </c>
    </row>
    <row r="288" spans="1:11" ht="15" customHeight="1" x14ac:dyDescent="0.25">
      <c r="A288" s="25" t="s">
        <v>108</v>
      </c>
      <c r="B288" s="17">
        <v>14.95</v>
      </c>
      <c r="C288" s="105">
        <f>B288-(B288/100*3.84)</f>
        <v>14.375919999999999</v>
      </c>
      <c r="D288" s="105">
        <f>C288-(C288/100*4)</f>
        <v>13.800883199999999</v>
      </c>
      <c r="E288" s="30"/>
      <c r="F288" s="121"/>
      <c r="G288" s="13" t="s">
        <v>617</v>
      </c>
      <c r="H288" s="118">
        <v>0.34</v>
      </c>
      <c r="I288" s="14">
        <f>H288-(H288/100*3.84)</f>
        <v>0.32694400000000001</v>
      </c>
      <c r="J288" s="14">
        <f>I288-(I288/100*3.84)</f>
        <v>0.31438935039999999</v>
      </c>
      <c r="K288" s="29">
        <v>12</v>
      </c>
    </row>
    <row r="289" spans="1:11" ht="15" customHeight="1" x14ac:dyDescent="0.25">
      <c r="A289" s="57" t="s">
        <v>485</v>
      </c>
      <c r="B289" s="14">
        <v>14.85</v>
      </c>
      <c r="C289" s="105">
        <f>B289-(B289/100*15)</f>
        <v>12.622499999999999</v>
      </c>
      <c r="D289" s="105">
        <f>B289-(B289/100*20)</f>
        <v>11.879999999999999</v>
      </c>
      <c r="E289" s="30">
        <v>200</v>
      </c>
      <c r="F289" s="121"/>
      <c r="G289" s="13" t="s">
        <v>154</v>
      </c>
      <c r="H289" s="118">
        <v>0.05</v>
      </c>
      <c r="I289" s="14">
        <f>H289</f>
        <v>0.05</v>
      </c>
      <c r="J289" s="14">
        <f>I289-(I289/100*3.84)</f>
        <v>4.8080000000000005E-2</v>
      </c>
      <c r="K289" s="29">
        <v>50</v>
      </c>
    </row>
    <row r="290" spans="1:11" ht="15" customHeight="1" x14ac:dyDescent="0.25">
      <c r="A290" s="36" t="s">
        <v>518</v>
      </c>
      <c r="B290" s="59">
        <v>3.22</v>
      </c>
      <c r="C290" s="59">
        <f>B290-(B290/100*4)</f>
        <v>3.0912000000000002</v>
      </c>
      <c r="D290" s="59">
        <f>C290-(C290/100*4)</f>
        <v>2.967552</v>
      </c>
      <c r="E290" s="106" t="s">
        <v>109</v>
      </c>
      <c r="F290" s="121"/>
      <c r="G290" s="13" t="s">
        <v>619</v>
      </c>
      <c r="H290" s="118">
        <v>1.82</v>
      </c>
      <c r="I290" s="14">
        <f>H290-(H290/100*3.84)</f>
        <v>1.7501120000000001</v>
      </c>
      <c r="J290" s="14">
        <f>I290-(I290/100*4.2)</f>
        <v>1.676607296</v>
      </c>
      <c r="K290" s="29"/>
    </row>
    <row r="291" spans="1:11" ht="18" customHeight="1" x14ac:dyDescent="0.25">
      <c r="A291" s="57" t="s">
        <v>317</v>
      </c>
      <c r="B291" s="14">
        <v>1.98</v>
      </c>
      <c r="C291" s="59">
        <f>B291-(B291/100*3.7)</f>
        <v>1.9067400000000001</v>
      </c>
      <c r="D291" s="105">
        <f>C291-(C291/100*4)</f>
        <v>1.8304704000000001</v>
      </c>
      <c r="E291" s="106" t="s">
        <v>109</v>
      </c>
      <c r="F291" s="121"/>
      <c r="G291" s="13" t="s">
        <v>386</v>
      </c>
      <c r="H291" s="118">
        <v>0.81</v>
      </c>
      <c r="I291" s="14">
        <f>H291-(H291/100*3.84)</f>
        <v>0.77889600000000003</v>
      </c>
      <c r="J291" s="14">
        <f>I291-(I291/100*5)</f>
        <v>0.73995120000000003</v>
      </c>
      <c r="K291" s="29"/>
    </row>
    <row r="292" spans="1:11" ht="16.5" customHeight="1" x14ac:dyDescent="0.25">
      <c r="A292" s="13" t="s">
        <v>453</v>
      </c>
      <c r="B292" s="37">
        <v>3.97</v>
      </c>
      <c r="C292" s="17">
        <f>B292-(B292/100*8.5)</f>
        <v>3.6325500000000002</v>
      </c>
      <c r="D292" s="17">
        <f>C292-(C292/100*4.4)</f>
        <v>3.4727178000000003</v>
      </c>
      <c r="E292" s="102">
        <v>1200</v>
      </c>
      <c r="G292" s="13" t="s">
        <v>451</v>
      </c>
      <c r="H292" s="118">
        <v>0.36</v>
      </c>
      <c r="I292" s="14">
        <f>H292-(H292/100*3.84)</f>
        <v>0.34617599999999998</v>
      </c>
      <c r="J292" s="14">
        <f>I292-(I292/100*3)</f>
        <v>0.33579071999999999</v>
      </c>
      <c r="K292" s="29">
        <v>35</v>
      </c>
    </row>
    <row r="293" spans="1:11" ht="14.25" customHeight="1" thickBot="1" x14ac:dyDescent="0.3">
      <c r="A293" s="58" t="s">
        <v>449</v>
      </c>
      <c r="B293" s="17">
        <v>4.55</v>
      </c>
      <c r="C293" s="17">
        <f>B293-(B293/100*8.3)</f>
        <v>4.1723499999999998</v>
      </c>
      <c r="D293" s="17">
        <f>C293-(C293/100*4.7)</f>
        <v>3.9762495499999999</v>
      </c>
      <c r="E293" s="30" t="s">
        <v>123</v>
      </c>
      <c r="F293" s="160"/>
      <c r="G293" s="13" t="s">
        <v>618</v>
      </c>
      <c r="H293" s="118">
        <v>0.36</v>
      </c>
      <c r="I293" s="14">
        <f>H293-(H293/100*3.84)</f>
        <v>0.34617599999999998</v>
      </c>
      <c r="J293" s="14">
        <f>I293-(I293/100*34)</f>
        <v>0.22847615999999998</v>
      </c>
      <c r="K293" s="29"/>
    </row>
    <row r="294" spans="1:11" ht="12.75" customHeight="1" thickBot="1" x14ac:dyDescent="0.3">
      <c r="A294" s="60" t="s">
        <v>486</v>
      </c>
      <c r="B294" s="17">
        <v>6.49</v>
      </c>
      <c r="C294" s="17">
        <f>B294-(B294/100*3.84)</f>
        <v>6.2407840000000006</v>
      </c>
      <c r="D294" s="17">
        <f>C294-(C294/100*4)</f>
        <v>5.9911526400000001</v>
      </c>
      <c r="E294" s="30" t="s">
        <v>152</v>
      </c>
      <c r="F294" s="153"/>
      <c r="G294" s="13" t="s">
        <v>136</v>
      </c>
      <c r="H294" s="118">
        <v>0.49</v>
      </c>
      <c r="I294" s="14">
        <f>H294-(H294/100*2)</f>
        <v>0.48020000000000002</v>
      </c>
      <c r="J294" s="14">
        <f t="shared" ref="I294:J296" si="64">I294-(I294/100*3.84)</f>
        <v>0.46176032</v>
      </c>
      <c r="K294" s="29">
        <v>24</v>
      </c>
    </row>
    <row r="295" spans="1:11" ht="15.75" customHeight="1" thickBot="1" x14ac:dyDescent="0.3">
      <c r="A295" s="58" t="s">
        <v>459</v>
      </c>
      <c r="B295" s="14">
        <v>47.46</v>
      </c>
      <c r="C295" s="63">
        <f t="shared" ref="C295:C296" si="65">B295-(B295/100*3.84)</f>
        <v>45.637535999999997</v>
      </c>
      <c r="D295" s="63">
        <f>C295-(C295/100*4)</f>
        <v>43.812034560000001</v>
      </c>
      <c r="E295" s="30" t="s">
        <v>171</v>
      </c>
      <c r="F295" s="154"/>
      <c r="G295" s="13" t="s">
        <v>387</v>
      </c>
      <c r="H295" s="118">
        <v>0.4</v>
      </c>
      <c r="I295" s="14">
        <f>H295-(H295/100*3.5)</f>
        <v>0.38600000000000001</v>
      </c>
      <c r="J295" s="14">
        <f t="shared" si="64"/>
        <v>0.3711776</v>
      </c>
      <c r="K295" s="29">
        <v>100</v>
      </c>
    </row>
    <row r="296" spans="1:11" ht="17.25" customHeight="1" thickBot="1" x14ac:dyDescent="0.3">
      <c r="A296" s="13" t="s">
        <v>460</v>
      </c>
      <c r="B296" s="17">
        <v>45.18</v>
      </c>
      <c r="C296" s="63">
        <f t="shared" si="65"/>
        <v>43.445087999999998</v>
      </c>
      <c r="D296" s="63">
        <f>C296-(C296/100*4)</f>
        <v>41.707284479999998</v>
      </c>
      <c r="E296" s="30" t="s">
        <v>171</v>
      </c>
      <c r="F296" s="153"/>
      <c r="G296" s="13" t="s">
        <v>148</v>
      </c>
      <c r="H296" s="118">
        <v>0.31</v>
      </c>
      <c r="I296" s="14">
        <f t="shared" si="64"/>
        <v>0.29809599999999997</v>
      </c>
      <c r="J296" s="14">
        <f t="shared" si="64"/>
        <v>0.28664911359999995</v>
      </c>
      <c r="K296" s="29"/>
    </row>
    <row r="297" spans="1:11" ht="17.25" customHeight="1" x14ac:dyDescent="0.25">
      <c r="A297" s="13" t="s">
        <v>487</v>
      </c>
      <c r="B297" s="17">
        <v>3.89</v>
      </c>
      <c r="C297" s="63">
        <f>B297-(B297/125*18.5)</f>
        <v>3.3142800000000001</v>
      </c>
      <c r="D297" s="63">
        <f>B297-(B297/125*25)</f>
        <v>3.1120000000000001</v>
      </c>
      <c r="E297" s="30" t="s">
        <v>123</v>
      </c>
      <c r="F297" s="154"/>
      <c r="G297" s="13" t="s">
        <v>388</v>
      </c>
      <c r="H297" s="118">
        <v>0.65</v>
      </c>
      <c r="I297" s="14">
        <f t="shared" ref="I297:J300" si="66">H297-(H297/100*3.84)</f>
        <v>0.62504000000000004</v>
      </c>
      <c r="J297" s="14">
        <f t="shared" si="66"/>
        <v>0.60103846400000005</v>
      </c>
      <c r="K297" s="29"/>
    </row>
    <row r="298" spans="1:11" ht="15.75" customHeight="1" x14ac:dyDescent="0.25">
      <c r="A298" s="13" t="s">
        <v>488</v>
      </c>
      <c r="B298" s="118">
        <v>4.0599999999999996</v>
      </c>
      <c r="C298" s="14">
        <f>B298-(B298/100*8.2)</f>
        <v>3.7270799999999995</v>
      </c>
      <c r="D298" s="14">
        <f>C298-(C298/100*4.5)</f>
        <v>3.5593613999999993</v>
      </c>
      <c r="E298" s="29">
        <v>100</v>
      </c>
      <c r="F298" s="154"/>
      <c r="G298" s="13" t="s">
        <v>389</v>
      </c>
      <c r="H298" s="118">
        <v>2.77</v>
      </c>
      <c r="I298" s="14">
        <f t="shared" si="66"/>
        <v>2.6636320000000002</v>
      </c>
      <c r="J298" s="14">
        <f t="shared" si="66"/>
        <v>2.5613485312000002</v>
      </c>
      <c r="K298" s="29"/>
    </row>
    <row r="299" spans="1:11" ht="16.5" customHeight="1" x14ac:dyDescent="0.25">
      <c r="A299" s="13" t="s">
        <v>489</v>
      </c>
      <c r="B299" s="118">
        <v>5.55</v>
      </c>
      <c r="C299" s="14">
        <f>B299-(B299/100*8.2)</f>
        <v>5.0949</v>
      </c>
      <c r="D299" s="14">
        <f>C299-(C299/100*4.7)</f>
        <v>4.8554396999999998</v>
      </c>
      <c r="E299" s="29">
        <v>100</v>
      </c>
      <c r="G299" s="13" t="s">
        <v>615</v>
      </c>
      <c r="H299" s="118">
        <v>0.21</v>
      </c>
      <c r="I299" s="14">
        <f>H299-(H299/100*3.84)</f>
        <v>0.201936</v>
      </c>
      <c r="J299" s="14">
        <f>I299-(I299/100*3.84)</f>
        <v>0.1941816576</v>
      </c>
      <c r="K299" s="29">
        <v>10</v>
      </c>
    </row>
    <row r="300" spans="1:11" x14ac:dyDescent="0.25">
      <c r="A300" s="13" t="s">
        <v>490</v>
      </c>
      <c r="B300" s="118">
        <v>2.02</v>
      </c>
      <c r="C300" s="14">
        <f>B300-(B300/100*8.2)</f>
        <v>1.85436</v>
      </c>
      <c r="D300" s="14">
        <f>C300-(C300/100*4.7)</f>
        <v>1.7672050800000001</v>
      </c>
      <c r="E300" s="29">
        <v>100</v>
      </c>
      <c r="G300" s="13" t="s">
        <v>147</v>
      </c>
      <c r="H300" s="118">
        <v>0.12</v>
      </c>
      <c r="I300" s="14">
        <f>H300-(H300/100*4.5)</f>
        <v>0.11459999999999999</v>
      </c>
      <c r="J300" s="14">
        <f t="shared" si="66"/>
        <v>0.11019936</v>
      </c>
      <c r="K300" s="29">
        <v>12</v>
      </c>
    </row>
    <row r="301" spans="1:11" ht="18.75" x14ac:dyDescent="0.25">
      <c r="A301" s="166" t="s">
        <v>102</v>
      </c>
      <c r="B301" s="167"/>
      <c r="C301" s="167"/>
      <c r="D301" s="167"/>
      <c r="E301" s="168"/>
      <c r="G301" s="13" t="s">
        <v>466</v>
      </c>
      <c r="H301" s="118">
        <v>0.33</v>
      </c>
      <c r="I301" s="14">
        <f>H301-(H301/100*5)</f>
        <v>0.3135</v>
      </c>
      <c r="J301" s="14">
        <f>I301-(I301/100*5)</f>
        <v>0.29782500000000001</v>
      </c>
      <c r="K301" s="29">
        <v>12</v>
      </c>
    </row>
    <row r="302" spans="1:11" x14ac:dyDescent="0.25">
      <c r="A302" s="10" t="s">
        <v>318</v>
      </c>
      <c r="B302" s="11">
        <v>1</v>
      </c>
      <c r="C302" s="23">
        <f>B302-(B302/100*15)</f>
        <v>0.85</v>
      </c>
      <c r="D302" s="23">
        <f>B302-(B302/100*20)</f>
        <v>0.8</v>
      </c>
      <c r="E302" s="116">
        <v>90</v>
      </c>
      <c r="G302" s="13" t="s">
        <v>491</v>
      </c>
      <c r="H302" s="118">
        <v>0.36</v>
      </c>
      <c r="I302" s="14">
        <f>H302-(H302/100*1.84)</f>
        <v>0.35337599999999997</v>
      </c>
      <c r="J302" s="14">
        <f>I302-(I302/100*3.84)</f>
        <v>0.3398063616</v>
      </c>
      <c r="K302" s="29"/>
    </row>
    <row r="303" spans="1:11" x14ac:dyDescent="0.25">
      <c r="A303" s="25" t="s">
        <v>382</v>
      </c>
      <c r="B303" s="17">
        <v>1.65</v>
      </c>
      <c r="C303" s="23">
        <f>B303-(B303/100*15)</f>
        <v>1.4024999999999999</v>
      </c>
      <c r="D303" s="23">
        <f>B303-(B303/100*20)</f>
        <v>1.3199999999999998</v>
      </c>
      <c r="E303" s="117">
        <v>24</v>
      </c>
      <c r="G303" s="13" t="s">
        <v>504</v>
      </c>
      <c r="H303" s="118">
        <v>1.37</v>
      </c>
      <c r="I303" s="14">
        <f>H303-(H303/100*14.9)</f>
        <v>1.1658700000000002</v>
      </c>
      <c r="J303" s="14">
        <f>I303-(I303/100*5.7)</f>
        <v>1.0994154100000002</v>
      </c>
      <c r="K303" s="29">
        <v>100</v>
      </c>
    </row>
    <row r="304" spans="1:11" x14ac:dyDescent="0.25">
      <c r="A304" s="13" t="s">
        <v>534</v>
      </c>
      <c r="B304" s="17">
        <v>29.41</v>
      </c>
      <c r="C304" s="23">
        <f>B304-(B304/100*15)</f>
        <v>24.9985</v>
      </c>
      <c r="D304" s="23">
        <f>C304-(C304/100*5.89)</f>
        <v>23.526088349999998</v>
      </c>
      <c r="E304" s="117">
        <v>10</v>
      </c>
      <c r="G304" s="13" t="s">
        <v>137</v>
      </c>
      <c r="H304" s="118">
        <v>0.18</v>
      </c>
      <c r="I304" s="14">
        <f>H304-(H304/100*3.84)</f>
        <v>0.17308799999999999</v>
      </c>
      <c r="J304" s="14">
        <f>I304-(I304/100*3.84)</f>
        <v>0.16644142079999999</v>
      </c>
      <c r="K304" s="29">
        <v>50</v>
      </c>
    </row>
    <row r="305" spans="1:11" x14ac:dyDescent="0.25">
      <c r="A305" s="55" t="s">
        <v>0</v>
      </c>
      <c r="B305" s="17">
        <v>5.46</v>
      </c>
      <c r="C305" s="23">
        <f>B305-(B305/100*3.84)</f>
        <v>5.2503359999999999</v>
      </c>
      <c r="D305" s="23">
        <f>C305-(C305/100*4)</f>
        <v>5.0403225599999999</v>
      </c>
      <c r="E305" s="117">
        <v>18</v>
      </c>
      <c r="G305" s="13" t="s">
        <v>491</v>
      </c>
      <c r="H305" s="118">
        <v>0.36</v>
      </c>
      <c r="I305" s="14">
        <f>H305-(H305/100*1.84)</f>
        <v>0.35337599999999997</v>
      </c>
      <c r="J305" s="14">
        <f>I305-(I305/100*3.84)</f>
        <v>0.3398063616</v>
      </c>
      <c r="K305" s="29"/>
    </row>
    <row r="306" spans="1:11" x14ac:dyDescent="0.25">
      <c r="A306" s="13" t="s">
        <v>533</v>
      </c>
      <c r="B306" s="17">
        <v>16.670000000000002</v>
      </c>
      <c r="C306" s="23">
        <f>B306-(B306/100*15)</f>
        <v>14.169500000000001</v>
      </c>
      <c r="D306" s="23">
        <f>C306-(C306/100*5.9)</f>
        <v>13.3334995</v>
      </c>
      <c r="E306" s="117">
        <v>10</v>
      </c>
      <c r="G306" s="13" t="s">
        <v>146</v>
      </c>
      <c r="H306" s="118">
        <v>1.55</v>
      </c>
      <c r="I306" s="14">
        <f>H306-(H306/100*3.84)</f>
        <v>1.49048</v>
      </c>
      <c r="J306" s="14">
        <f>I306-(I306/100*3.84)</f>
        <v>1.433245568</v>
      </c>
      <c r="K306" s="29"/>
    </row>
    <row r="307" spans="1:11" x14ac:dyDescent="0.25">
      <c r="A307" s="13" t="s">
        <v>532</v>
      </c>
      <c r="B307" s="17">
        <v>22.38</v>
      </c>
      <c r="C307" s="23">
        <f>B307-(B307/100*15)</f>
        <v>19.023</v>
      </c>
      <c r="D307" s="23">
        <f>C307-(C307/100*5.9)</f>
        <v>17.900642999999999</v>
      </c>
      <c r="E307" s="117">
        <v>10</v>
      </c>
      <c r="G307" s="13" t="s">
        <v>146</v>
      </c>
      <c r="H307" s="118">
        <v>1.55</v>
      </c>
      <c r="I307" s="14">
        <f>H307-(H307/100*3.84)</f>
        <v>1.49048</v>
      </c>
      <c r="J307" s="14">
        <f>I307-(I307/100*3.84)</f>
        <v>1.433245568</v>
      </c>
      <c r="K307" s="29"/>
    </row>
    <row r="308" spans="1:11" x14ac:dyDescent="0.25">
      <c r="A308" s="13" t="s">
        <v>535</v>
      </c>
      <c r="B308" s="17">
        <v>12.4</v>
      </c>
      <c r="C308" s="23">
        <f>B308-(B308/100*15)</f>
        <v>10.540000000000001</v>
      </c>
      <c r="D308" s="23">
        <f>C308-(C308/100*5.9)</f>
        <v>9.9181400000000011</v>
      </c>
      <c r="E308" s="117">
        <v>10</v>
      </c>
    </row>
    <row r="309" spans="1:11" x14ac:dyDescent="0.25">
      <c r="A309" s="13" t="s">
        <v>536</v>
      </c>
      <c r="B309" s="17">
        <v>11.79</v>
      </c>
      <c r="C309" s="23">
        <f>B309-(B309/100*15)</f>
        <v>10.0215</v>
      </c>
      <c r="D309" s="23">
        <f>C309-(C309/100*5.8)</f>
        <v>9.4402530000000002</v>
      </c>
      <c r="E309" s="117">
        <v>5</v>
      </c>
    </row>
    <row r="310" spans="1:11" x14ac:dyDescent="0.25">
      <c r="A310" s="13" t="s">
        <v>538</v>
      </c>
      <c r="B310" s="17">
        <v>12.48</v>
      </c>
      <c r="C310" s="23">
        <f>B310-(B310/100*3.84)</f>
        <v>12.000768000000001</v>
      </c>
      <c r="D310" s="23">
        <f>C310-(C310/100*4)</f>
        <v>11.520737280000001</v>
      </c>
      <c r="E310" s="117">
        <v>12</v>
      </c>
    </row>
    <row r="311" spans="1:11" x14ac:dyDescent="0.25">
      <c r="A311" s="13" t="s">
        <v>540</v>
      </c>
      <c r="B311" s="17">
        <v>15.37</v>
      </c>
      <c r="C311" s="23">
        <f>B311-(B311/100*15)</f>
        <v>13.064499999999999</v>
      </c>
      <c r="D311" s="23">
        <f>C311-(C311/100*5.85)</f>
        <v>12.300226749999998</v>
      </c>
      <c r="E311" s="117">
        <v>10</v>
      </c>
    </row>
    <row r="312" spans="1:11" x14ac:dyDescent="0.25">
      <c r="A312" s="13" t="s">
        <v>103</v>
      </c>
      <c r="B312" s="17">
        <v>12.48</v>
      </c>
      <c r="C312" s="23">
        <f>B312-(B312/100*3.84)</f>
        <v>12.000768000000001</v>
      </c>
      <c r="D312" s="23">
        <f>C312-(C312/100*4)</f>
        <v>11.520737280000001</v>
      </c>
      <c r="E312" s="117">
        <v>14</v>
      </c>
    </row>
    <row r="313" spans="1:11" x14ac:dyDescent="0.25">
      <c r="A313" s="13" t="s">
        <v>537</v>
      </c>
      <c r="B313" s="17">
        <v>10.84</v>
      </c>
      <c r="C313" s="23">
        <f>B313-(B313/100*14.9)</f>
        <v>9.2248400000000004</v>
      </c>
      <c r="D313" s="23">
        <f>C313-(C313/100*6)</f>
        <v>8.671349600000001</v>
      </c>
      <c r="E313" s="117">
        <v>10</v>
      </c>
    </row>
    <row r="314" spans="1:11" x14ac:dyDescent="0.25">
      <c r="A314" s="13" t="s">
        <v>539</v>
      </c>
      <c r="B314" s="17">
        <v>8.07</v>
      </c>
      <c r="C314" s="23">
        <f>B314-(B314/100*15)</f>
        <v>6.8595000000000006</v>
      </c>
      <c r="D314" s="23">
        <f>C314-(C314/100*5.8)</f>
        <v>6.4616490000000004</v>
      </c>
      <c r="E314" s="117">
        <v>10</v>
      </c>
    </row>
    <row r="315" spans="1:11" ht="16.5" customHeight="1" x14ac:dyDescent="0.25">
      <c r="A315" s="13" t="s">
        <v>319</v>
      </c>
      <c r="B315" s="37">
        <v>2.94</v>
      </c>
      <c r="C315" s="32">
        <f>B315-(B315/100*15.07)</f>
        <v>2.4969419999999998</v>
      </c>
      <c r="D315" s="32">
        <f>B315-(B315/100*20)</f>
        <v>2.3519999999999999</v>
      </c>
      <c r="E315" s="93">
        <v>10</v>
      </c>
    </row>
    <row r="316" spans="1:11" x14ac:dyDescent="0.25">
      <c r="A316" s="13" t="s">
        <v>630</v>
      </c>
      <c r="B316" s="17">
        <v>3.76</v>
      </c>
      <c r="C316" s="32">
        <f>B316-(B316/100*9.8)</f>
        <v>3.3915199999999999</v>
      </c>
      <c r="D316" s="32">
        <f>B316-(B316/100*20)</f>
        <v>3.008</v>
      </c>
      <c r="E316" s="117">
        <v>6</v>
      </c>
    </row>
    <row r="317" spans="1:11" x14ac:dyDescent="0.25">
      <c r="A317" s="72" t="s">
        <v>629</v>
      </c>
      <c r="B317" s="17">
        <v>11.27</v>
      </c>
      <c r="C317" s="32">
        <f>B317-(B317/100*3.84)</f>
        <v>10.837232</v>
      </c>
      <c r="D317" s="32">
        <f>C317-(C317/100*4.05)</f>
        <v>10.398324104</v>
      </c>
      <c r="E317" s="151"/>
    </row>
    <row r="318" spans="1:11" x14ac:dyDescent="0.25">
      <c r="A318" s="13" t="s">
        <v>155</v>
      </c>
      <c r="B318" s="17">
        <v>34.57</v>
      </c>
      <c r="C318" s="32">
        <f>B318-(B318/100*14.97)</f>
        <v>29.394871000000002</v>
      </c>
      <c r="D318" s="32">
        <f>B318-(B318/100*19.98)</f>
        <v>27.662914000000001</v>
      </c>
      <c r="E318" s="117">
        <v>5</v>
      </c>
    </row>
    <row r="319" spans="1:11" x14ac:dyDescent="0.25">
      <c r="A319" s="13" t="s">
        <v>156</v>
      </c>
      <c r="B319" s="11">
        <v>14.04</v>
      </c>
      <c r="C319" s="32">
        <f>B319-(B319/100*15)</f>
        <v>11.933999999999999</v>
      </c>
      <c r="D319" s="32">
        <f>B319-(B319/100*20)</f>
        <v>11.231999999999999</v>
      </c>
      <c r="E319" s="117">
        <v>6</v>
      </c>
    </row>
    <row r="320" spans="1:11" x14ac:dyDescent="0.25">
      <c r="A320" s="72" t="s">
        <v>633</v>
      </c>
      <c r="B320" s="17">
        <v>19.579999999999998</v>
      </c>
      <c r="C320" s="32">
        <f>B320-(B320/100*3.84)</f>
        <v>18.828128</v>
      </c>
      <c r="D320" s="32">
        <f>C320-(C320/100*4.05)</f>
        <v>18.065588815999998</v>
      </c>
      <c r="E320" s="151"/>
    </row>
    <row r="321" spans="1:11" x14ac:dyDescent="0.25">
      <c r="A321" s="13" t="s">
        <v>153</v>
      </c>
      <c r="B321" s="17">
        <v>18.329999999999998</v>
      </c>
      <c r="C321" s="32">
        <f>B321-(B321/100*3.84)</f>
        <v>17.626127999999998</v>
      </c>
      <c r="D321" s="32">
        <f>C321-(C321/100*4)</f>
        <v>16.921082879999997</v>
      </c>
      <c r="E321" s="29">
        <v>2</v>
      </c>
    </row>
    <row r="323" spans="1:11" ht="37.5" customHeight="1" thickBot="1" x14ac:dyDescent="0.3">
      <c r="A323" s="198" t="s">
        <v>391</v>
      </c>
      <c r="B323" s="199"/>
      <c r="C323" s="199"/>
      <c r="D323" s="199"/>
      <c r="E323" s="199"/>
      <c r="F323" s="199"/>
      <c r="G323" s="199"/>
      <c r="H323" s="199"/>
      <c r="I323" s="199"/>
      <c r="J323" s="199"/>
      <c r="K323" s="161"/>
    </row>
    <row r="324" spans="1:11" x14ac:dyDescent="0.25">
      <c r="A324" s="178" t="s">
        <v>129</v>
      </c>
      <c r="B324" s="179"/>
      <c r="C324" s="179"/>
      <c r="D324" s="180"/>
      <c r="E324" s="181"/>
      <c r="G324" s="169" t="s">
        <v>104</v>
      </c>
      <c r="H324" s="170"/>
      <c r="I324" s="170"/>
      <c r="J324" s="170"/>
      <c r="K324" s="171"/>
    </row>
    <row r="325" spans="1:11" x14ac:dyDescent="0.25">
      <c r="A325" s="182"/>
      <c r="B325" s="183"/>
      <c r="C325" s="183"/>
      <c r="D325" s="184"/>
      <c r="E325" s="185"/>
      <c r="G325" s="172"/>
      <c r="H325" s="173"/>
      <c r="I325" s="173"/>
      <c r="J325" s="173"/>
      <c r="K325" s="174"/>
    </row>
    <row r="326" spans="1:11" x14ac:dyDescent="0.25">
      <c r="A326" s="182"/>
      <c r="B326" s="183"/>
      <c r="C326" s="183"/>
      <c r="D326" s="184"/>
      <c r="E326" s="185"/>
      <c r="G326" s="172"/>
      <c r="H326" s="173"/>
      <c r="I326" s="173"/>
      <c r="J326" s="173"/>
      <c r="K326" s="174"/>
    </row>
    <row r="327" spans="1:11" x14ac:dyDescent="0.25">
      <c r="A327" s="182"/>
      <c r="B327" s="183"/>
      <c r="C327" s="183"/>
      <c r="D327" s="184"/>
      <c r="E327" s="185"/>
      <c r="G327" s="172"/>
      <c r="H327" s="173"/>
      <c r="I327" s="173"/>
      <c r="J327" s="173"/>
      <c r="K327" s="174"/>
    </row>
    <row r="328" spans="1:11" x14ac:dyDescent="0.25">
      <c r="A328" s="182"/>
      <c r="B328" s="183"/>
      <c r="C328" s="183"/>
      <c r="D328" s="184"/>
      <c r="E328" s="185"/>
      <c r="G328" s="172"/>
      <c r="H328" s="173"/>
      <c r="I328" s="173"/>
      <c r="J328" s="173"/>
      <c r="K328" s="174"/>
    </row>
    <row r="329" spans="1:11" x14ac:dyDescent="0.25">
      <c r="A329" s="182"/>
      <c r="B329" s="183"/>
      <c r="C329" s="183"/>
      <c r="D329" s="184"/>
      <c r="E329" s="185"/>
      <c r="G329" s="172"/>
      <c r="H329" s="173"/>
      <c r="I329" s="173"/>
      <c r="J329" s="173"/>
      <c r="K329" s="174"/>
    </row>
    <row r="330" spans="1:11" x14ac:dyDescent="0.25">
      <c r="A330" s="182"/>
      <c r="B330" s="183"/>
      <c r="C330" s="183"/>
      <c r="D330" s="184"/>
      <c r="E330" s="185"/>
      <c r="G330" s="172"/>
      <c r="H330" s="173"/>
      <c r="I330" s="173"/>
      <c r="J330" s="173"/>
      <c r="K330" s="174"/>
    </row>
    <row r="331" spans="1:11" ht="43.5" customHeight="1" thickBot="1" x14ac:dyDescent="0.3">
      <c r="A331" s="186"/>
      <c r="B331" s="187"/>
      <c r="C331" s="187"/>
      <c r="D331" s="188"/>
      <c r="E331" s="189"/>
      <c r="G331" s="175"/>
      <c r="H331" s="176"/>
      <c r="I331" s="176"/>
      <c r="J331" s="176"/>
      <c r="K331" s="177"/>
    </row>
  </sheetData>
  <mergeCells count="18">
    <mergeCell ref="A196:E196"/>
    <mergeCell ref="A1:K6"/>
    <mergeCell ref="A7:K7"/>
    <mergeCell ref="A10:E10"/>
    <mergeCell ref="G10:K10"/>
    <mergeCell ref="A68:E68"/>
    <mergeCell ref="A97:E97"/>
    <mergeCell ref="G130:K130"/>
    <mergeCell ref="A166:E166"/>
    <mergeCell ref="G139:K139"/>
    <mergeCell ref="A8:K8"/>
    <mergeCell ref="A237:E237"/>
    <mergeCell ref="A267:E267"/>
    <mergeCell ref="A301:E301"/>
    <mergeCell ref="G324:K331"/>
    <mergeCell ref="A324:E331"/>
    <mergeCell ref="G274:K274"/>
    <mergeCell ref="A323:J323"/>
  </mergeCells>
  <pageMargins left="0.55118110236220474" right="0.39370078740157483" top="0.35433070866141736" bottom="0.31496062992125984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user_smart</dc:creator>
  <cp:lastModifiedBy>user_smart</cp:lastModifiedBy>
  <cp:lastPrinted>2019-05-04T08:09:43Z</cp:lastPrinted>
  <dcterms:created xsi:type="dcterms:W3CDTF">2017-06-08T09:28:25Z</dcterms:created>
  <dcterms:modified xsi:type="dcterms:W3CDTF">2019-05-31T13:52:30Z</dcterms:modified>
</cp:coreProperties>
</file>